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Лист2" sheetId="2" r:id="rId1"/>
    <sheet name="Лист3" sheetId="3" r:id="rId2"/>
  </sheets>
  <definedNames>
    <definedName name="_xlnm.Print_Area" localSheetId="0">Лист2!$A$1:$O$651</definedName>
  </definedNames>
  <calcPr calcId="144525" iterate="1"/>
</workbook>
</file>

<file path=xl/calcChain.xml><?xml version="1.0" encoding="utf-8"?>
<calcChain xmlns="http://schemas.openxmlformats.org/spreadsheetml/2006/main">
  <c r="L573" i="2" l="1"/>
  <c r="M641" i="2"/>
  <c r="N641" i="2"/>
  <c r="O641" i="2"/>
  <c r="L639" i="2"/>
  <c r="N638" i="2"/>
  <c r="M638" i="2"/>
  <c r="O634" i="2"/>
  <c r="N634" i="2"/>
  <c r="M634" i="2"/>
  <c r="L634" i="2"/>
  <c r="K634" i="2"/>
  <c r="J634" i="2"/>
  <c r="J631" i="2"/>
  <c r="J630" i="2"/>
  <c r="O627" i="2"/>
  <c r="O623" i="2" s="1"/>
  <c r="O620" i="2" s="1"/>
  <c r="O619" i="2" s="1"/>
  <c r="O617" i="2" s="1"/>
  <c r="N627" i="2"/>
  <c r="N623" i="2" s="1"/>
  <c r="N620" i="2" s="1"/>
  <c r="N619" i="2" s="1"/>
  <c r="N617" i="2" s="1"/>
  <c r="M627" i="2"/>
  <c r="M623" i="2" s="1"/>
  <c r="M620" i="2" s="1"/>
  <c r="M619" i="2" s="1"/>
  <c r="M617" i="2" s="1"/>
  <c r="J627" i="2"/>
  <c r="J623" i="2" s="1"/>
  <c r="J620" i="2" s="1"/>
  <c r="J619" i="2" s="1"/>
  <c r="J617" i="2" s="1"/>
  <c r="L624" i="2"/>
  <c r="K624" i="2"/>
  <c r="J624" i="2"/>
  <c r="L623" i="2"/>
  <c r="L620" i="2" s="1"/>
  <c r="L619" i="2" s="1"/>
  <c r="L617" i="2" s="1"/>
  <c r="K623" i="2"/>
  <c r="K620" i="2" s="1"/>
  <c r="K619" i="2" s="1"/>
  <c r="K617" i="2" s="1"/>
  <c r="O613" i="2" l="1"/>
  <c r="N613" i="2"/>
  <c r="M613" i="2"/>
  <c r="L613" i="2"/>
  <c r="K613" i="2"/>
  <c r="J613" i="2"/>
  <c r="O612" i="2"/>
  <c r="N612" i="2"/>
  <c r="M612" i="2"/>
  <c r="L612" i="2"/>
  <c r="O609" i="2"/>
  <c r="O606" i="2" s="1"/>
  <c r="N609" i="2"/>
  <c r="N606" i="2" s="1"/>
  <c r="M609" i="2"/>
  <c r="M606" i="2" s="1"/>
  <c r="L609" i="2"/>
  <c r="L606" i="2" s="1"/>
  <c r="K606" i="2"/>
  <c r="J606" i="2"/>
  <c r="O604" i="2"/>
  <c r="N604" i="2"/>
  <c r="O603" i="2"/>
  <c r="O600" i="2" s="1"/>
  <c r="N603" i="2"/>
  <c r="N600" i="2" s="1"/>
  <c r="M603" i="2"/>
  <c r="M600" i="2" s="1"/>
  <c r="L603" i="2"/>
  <c r="L600" i="2" s="1"/>
  <c r="K600" i="2"/>
  <c r="J600" i="2"/>
  <c r="O596" i="2"/>
  <c r="N595" i="2"/>
  <c r="M595" i="2"/>
  <c r="O594" i="2"/>
  <c r="N594" i="2"/>
  <c r="M594" i="2"/>
  <c r="L594" i="2"/>
  <c r="K594" i="2"/>
  <c r="J594" i="2"/>
  <c r="M593" i="2"/>
  <c r="O591" i="2"/>
  <c r="N591" i="2"/>
  <c r="M591" i="2"/>
  <c r="M590" i="2" s="1"/>
  <c r="L591" i="2"/>
  <c r="L590" i="2" s="1"/>
  <c r="K591" i="2"/>
  <c r="K590" i="2" s="1"/>
  <c r="J591" i="2"/>
  <c r="J590" i="2" s="1"/>
  <c r="K587" i="2"/>
  <c r="J587" i="2"/>
  <c r="L585" i="2"/>
  <c r="M580" i="2"/>
  <c r="L576" i="2"/>
  <c r="K576" i="2"/>
  <c r="J576" i="2"/>
  <c r="O575" i="2"/>
  <c r="O571" i="2" s="1"/>
  <c r="N575" i="2"/>
  <c r="M575" i="2"/>
  <c r="L575" i="2"/>
  <c r="K575" i="2"/>
  <c r="J575" i="2"/>
  <c r="M573" i="2"/>
  <c r="L571" i="2"/>
  <c r="K573" i="2"/>
  <c r="K571" i="2" s="1"/>
  <c r="J573" i="2"/>
  <c r="J571" i="2" s="1"/>
  <c r="N571" i="2"/>
  <c r="M571" i="2"/>
  <c r="L569" i="2" l="1"/>
  <c r="M569" i="2"/>
  <c r="N590" i="2"/>
  <c r="N569" i="2" s="1"/>
  <c r="O590" i="2"/>
  <c r="O569" i="2" s="1"/>
  <c r="J569" i="2"/>
  <c r="K569" i="2"/>
  <c r="O567" i="2" l="1"/>
  <c r="N567" i="2"/>
  <c r="M567" i="2"/>
  <c r="L567" i="2"/>
  <c r="K567" i="2"/>
  <c r="J567" i="2"/>
  <c r="O566" i="2"/>
  <c r="O563" i="2"/>
  <c r="O562" i="2"/>
  <c r="O561" i="2"/>
  <c r="O560" i="2"/>
  <c r="O552" i="2" s="1"/>
  <c r="O551" i="2" s="1"/>
  <c r="O559" i="2"/>
  <c r="O558" i="2"/>
  <c r="O557" i="2"/>
  <c r="N552" i="2"/>
  <c r="M552" i="2"/>
  <c r="L552" i="2"/>
  <c r="K552" i="2"/>
  <c r="K551" i="2" s="1"/>
  <c r="J552" i="2"/>
  <c r="J551" i="2" s="1"/>
  <c r="N551" i="2"/>
  <c r="M551" i="2"/>
  <c r="L551" i="2"/>
  <c r="O548" i="2"/>
  <c r="N548" i="2"/>
  <c r="M548" i="2"/>
  <c r="L548" i="2"/>
  <c r="K548" i="2"/>
  <c r="J548" i="2"/>
  <c r="O546" i="2"/>
  <c r="N546" i="2"/>
  <c r="N540" i="2" s="1"/>
  <c r="N539" i="2" s="1"/>
  <c r="M546" i="2"/>
  <c r="M540" i="2" s="1"/>
  <c r="M539" i="2" s="1"/>
  <c r="L546" i="2"/>
  <c r="L540" i="2" s="1"/>
  <c r="K546" i="2"/>
  <c r="J546" i="2"/>
  <c r="O541" i="2"/>
  <c r="N541" i="2"/>
  <c r="M541" i="2"/>
  <c r="L541" i="2"/>
  <c r="K541" i="2"/>
  <c r="K540" i="2" s="1"/>
  <c r="J541" i="2"/>
  <c r="J540" i="2" s="1"/>
  <c r="O540" i="2"/>
  <c r="L539" i="2" l="1"/>
  <c r="L641" i="2" s="1"/>
  <c r="J539" i="2"/>
  <c r="O539" i="2"/>
  <c r="K539" i="2"/>
  <c r="L530" i="2" l="1"/>
  <c r="K530" i="2"/>
  <c r="J530" i="2"/>
  <c r="O528" i="2"/>
  <c r="N528" i="2"/>
  <c r="M528" i="2"/>
  <c r="L528" i="2"/>
  <c r="K528" i="2"/>
  <c r="J528" i="2"/>
  <c r="O525" i="2"/>
  <c r="N525" i="2"/>
  <c r="M525" i="2"/>
  <c r="L525" i="2"/>
  <c r="K525" i="2"/>
  <c r="J525" i="2"/>
  <c r="O521" i="2"/>
  <c r="N521" i="2"/>
  <c r="M521" i="2"/>
  <c r="L521" i="2"/>
  <c r="K521" i="2"/>
  <c r="K498" i="2" s="1"/>
  <c r="J521" i="2"/>
  <c r="O515" i="2"/>
  <c r="N515" i="2"/>
  <c r="M515" i="2"/>
  <c r="O514" i="2"/>
  <c r="N514" i="2"/>
  <c r="M514" i="2"/>
  <c r="O512" i="2"/>
  <c r="N512" i="2"/>
  <c r="M512" i="2"/>
  <c r="O511" i="2"/>
  <c r="O510" i="2" s="1"/>
  <c r="N511" i="2"/>
  <c r="N510" i="2" s="1"/>
  <c r="N498" i="2" s="1"/>
  <c r="M511" i="2"/>
  <c r="M510" i="2" s="1"/>
  <c r="M498" i="2" s="1"/>
  <c r="L510" i="2"/>
  <c r="L498" i="2" s="1"/>
  <c r="K510" i="2"/>
  <c r="J510" i="2"/>
  <c r="O505" i="2"/>
  <c r="N505" i="2"/>
  <c r="M505" i="2"/>
  <c r="L505" i="2"/>
  <c r="K505" i="2"/>
  <c r="J505" i="2"/>
  <c r="O499" i="2"/>
  <c r="N499" i="2"/>
  <c r="M499" i="2"/>
  <c r="L499" i="2"/>
  <c r="K499" i="2"/>
  <c r="J499" i="2"/>
  <c r="J498" i="2"/>
  <c r="O495" i="2"/>
  <c r="O494" i="2" s="1"/>
  <c r="N495" i="2"/>
  <c r="M495" i="2"/>
  <c r="L495" i="2"/>
  <c r="K495" i="2"/>
  <c r="J495" i="2"/>
  <c r="N494" i="2"/>
  <c r="M494" i="2"/>
  <c r="L494" i="2"/>
  <c r="K494" i="2"/>
  <c r="J494" i="2"/>
  <c r="O491" i="2"/>
  <c r="N491" i="2"/>
  <c r="M491" i="2"/>
  <c r="L491" i="2"/>
  <c r="K491" i="2"/>
  <c r="J491" i="2"/>
  <c r="O485" i="2"/>
  <c r="N485" i="2"/>
  <c r="M485" i="2"/>
  <c r="L485" i="2"/>
  <c r="K485" i="2"/>
  <c r="J485" i="2"/>
  <c r="O481" i="2"/>
  <c r="N481" i="2"/>
  <c r="M481" i="2"/>
  <c r="L481" i="2"/>
  <c r="K481" i="2"/>
  <c r="J481" i="2"/>
  <c r="K477" i="2"/>
  <c r="J477" i="2"/>
  <c r="J476" i="2" s="1"/>
  <c r="O476" i="2"/>
  <c r="N476" i="2"/>
  <c r="M476" i="2"/>
  <c r="M455" i="2" s="1"/>
  <c r="M412" i="2" s="1"/>
  <c r="M411" i="2" s="1"/>
  <c r="M409" i="2" s="1"/>
  <c r="L476" i="2"/>
  <c r="K476" i="2"/>
  <c r="O471" i="2"/>
  <c r="N471" i="2"/>
  <c r="N456" i="2" s="1"/>
  <c r="N455" i="2" s="1"/>
  <c r="N412" i="2" s="1"/>
  <c r="N411" i="2" s="1"/>
  <c r="N409" i="2" s="1"/>
  <c r="M471" i="2"/>
  <c r="O470" i="2"/>
  <c r="N470" i="2"/>
  <c r="M470" i="2"/>
  <c r="K466" i="2"/>
  <c r="J466" i="2"/>
  <c r="K465" i="2"/>
  <c r="K456" i="2" s="1"/>
  <c r="K455" i="2" s="1"/>
  <c r="J465" i="2"/>
  <c r="J456" i="2" s="1"/>
  <c r="J455" i="2" s="1"/>
  <c r="O462" i="2"/>
  <c r="O456" i="2" s="1"/>
  <c r="O455" i="2" s="1"/>
  <c r="M456" i="2"/>
  <c r="L456" i="2"/>
  <c r="L455" i="2"/>
  <c r="L442" i="2"/>
  <c r="L438" i="2" s="1"/>
  <c r="O438" i="2"/>
  <c r="N438" i="2"/>
  <c r="M438" i="2"/>
  <c r="K438" i="2"/>
  <c r="J438" i="2"/>
  <c r="L437" i="2"/>
  <c r="K437" i="2"/>
  <c r="J437" i="2"/>
  <c r="J419" i="2" s="1"/>
  <c r="K430" i="2"/>
  <c r="J430" i="2"/>
  <c r="K429" i="2"/>
  <c r="J429" i="2"/>
  <c r="L423" i="2"/>
  <c r="K423" i="2"/>
  <c r="J423" i="2"/>
  <c r="O419" i="2"/>
  <c r="N419" i="2"/>
  <c r="M419" i="2"/>
  <c r="L419" i="2"/>
  <c r="L412" i="2" s="1"/>
  <c r="L411" i="2" s="1"/>
  <c r="L409" i="2" s="1"/>
  <c r="K419" i="2"/>
  <c r="O414" i="2"/>
  <c r="O413" i="2" s="1"/>
  <c r="N414" i="2"/>
  <c r="N413" i="2"/>
  <c r="M413" i="2"/>
  <c r="L413" i="2"/>
  <c r="K413" i="2"/>
  <c r="J413" i="2"/>
  <c r="K412" i="2" l="1"/>
  <c r="K411" i="2" s="1"/>
  <c r="K409" i="2" s="1"/>
  <c r="J412" i="2"/>
  <c r="J411" i="2" s="1"/>
  <c r="J409" i="2" s="1"/>
  <c r="O498" i="2"/>
  <c r="O412" i="2"/>
  <c r="O411" i="2" s="1"/>
  <c r="O409" i="2" s="1"/>
  <c r="O385" i="2"/>
  <c r="O383" i="2" s="1"/>
  <c r="O381" i="2" s="1"/>
  <c r="N385" i="2"/>
  <c r="N383" i="2" s="1"/>
  <c r="N381" i="2" s="1"/>
  <c r="M385" i="2"/>
  <c r="M383" i="2" s="1"/>
  <c r="M381" i="2" s="1"/>
  <c r="L385" i="2"/>
  <c r="L383" i="2" s="1"/>
  <c r="L381" i="2" s="1"/>
  <c r="K383" i="2"/>
  <c r="K381" i="2" s="1"/>
  <c r="K641" i="2" s="1"/>
  <c r="J383" i="2"/>
  <c r="J381" i="2" s="1"/>
  <c r="O374" i="2" l="1"/>
  <c r="O371" i="2" s="1"/>
  <c r="O370" i="2" s="1"/>
  <c r="O368" i="2" s="1"/>
  <c r="N374" i="2"/>
  <c r="M374" i="2"/>
  <c r="M371" i="2" s="1"/>
  <c r="M370" i="2" s="1"/>
  <c r="M368" i="2" s="1"/>
  <c r="N372" i="2"/>
  <c r="N371" i="2" s="1"/>
  <c r="N370" i="2" s="1"/>
  <c r="N368" i="2" s="1"/>
  <c r="M372" i="2"/>
  <c r="L371" i="2"/>
  <c r="K371" i="2"/>
  <c r="J371" i="2"/>
  <c r="J370" i="2" s="1"/>
  <c r="J368" i="2" s="1"/>
  <c r="L370" i="2"/>
  <c r="L368" i="2" s="1"/>
  <c r="K370" i="2"/>
  <c r="K368" i="2" s="1"/>
  <c r="O366" i="2" l="1"/>
  <c r="O351" i="2" s="1"/>
  <c r="N366" i="2"/>
  <c r="N351" i="2" s="1"/>
  <c r="M366" i="2"/>
  <c r="M351" i="2" s="1"/>
  <c r="K366" i="2"/>
  <c r="J366" i="2"/>
  <c r="O364" i="2"/>
  <c r="N364" i="2"/>
  <c r="M364" i="2"/>
  <c r="O359" i="2"/>
  <c r="N359" i="2"/>
  <c r="M359" i="2"/>
  <c r="L359" i="2"/>
  <c r="O357" i="2"/>
  <c r="O349" i="2" s="1"/>
  <c r="O347" i="2" s="1"/>
  <c r="N357" i="2"/>
  <c r="N349" i="2" s="1"/>
  <c r="N347" i="2" s="1"/>
  <c r="M357" i="2"/>
  <c r="M349" i="2" s="1"/>
  <c r="M347" i="2" s="1"/>
  <c r="K357" i="2"/>
  <c r="K349" i="2" s="1"/>
  <c r="K347" i="2" s="1"/>
  <c r="J357" i="2"/>
  <c r="J349" i="2" s="1"/>
  <c r="J347" i="2" s="1"/>
  <c r="O352" i="2"/>
  <c r="N352" i="2"/>
  <c r="M352" i="2"/>
  <c r="L352" i="2"/>
  <c r="K352" i="2"/>
  <c r="J352" i="2"/>
  <c r="L351" i="2"/>
  <c r="O350" i="2"/>
  <c r="N350" i="2"/>
  <c r="M350" i="2"/>
  <c r="L350" i="2"/>
  <c r="L349" i="2"/>
  <c r="L347" i="2"/>
  <c r="O336" i="2" l="1"/>
  <c r="N336" i="2"/>
  <c r="M336" i="2"/>
  <c r="L336" i="2"/>
  <c r="K336" i="2"/>
  <c r="J336" i="2"/>
  <c r="O330" i="2"/>
  <c r="N330" i="2"/>
  <c r="M330" i="2"/>
  <c r="L330" i="2"/>
  <c r="K330" i="2"/>
  <c r="J330" i="2"/>
  <c r="O324" i="2"/>
  <c r="N324" i="2"/>
  <c r="M324" i="2"/>
  <c r="L324" i="2"/>
  <c r="K324" i="2"/>
  <c r="J324" i="2"/>
  <c r="O321" i="2"/>
  <c r="N321" i="2"/>
  <c r="M321" i="2"/>
  <c r="L321" i="2"/>
  <c r="K321" i="2"/>
  <c r="J321" i="2"/>
  <c r="O318" i="2"/>
  <c r="N318" i="2"/>
  <c r="M318" i="2"/>
  <c r="L318" i="2"/>
  <c r="K318" i="2"/>
  <c r="J318" i="2"/>
  <c r="O315" i="2"/>
  <c r="O314" i="2" s="1"/>
  <c r="N315" i="2"/>
  <c r="M315" i="2"/>
  <c r="L315" i="2"/>
  <c r="K315" i="2"/>
  <c r="J315" i="2"/>
  <c r="J314" i="2" s="1"/>
  <c r="N314" i="2"/>
  <c r="O309" i="2"/>
  <c r="N309" i="2"/>
  <c r="M309" i="2"/>
  <c r="L309" i="2"/>
  <c r="K309" i="2"/>
  <c r="J309" i="2"/>
  <c r="O307" i="2"/>
  <c r="N307" i="2"/>
  <c r="M307" i="2"/>
  <c r="L307" i="2"/>
  <c r="K307" i="2"/>
  <c r="J307" i="2"/>
  <c r="O302" i="2"/>
  <c r="N302" i="2"/>
  <c r="M302" i="2"/>
  <c r="L302" i="2"/>
  <c r="K302" i="2"/>
  <c r="J302" i="2"/>
  <c r="O299" i="2"/>
  <c r="N299" i="2"/>
  <c r="M299" i="2"/>
  <c r="L299" i="2"/>
  <c r="K299" i="2"/>
  <c r="J299" i="2"/>
  <c r="O294" i="2"/>
  <c r="N294" i="2"/>
  <c r="M294" i="2"/>
  <c r="L294" i="2"/>
  <c r="K294" i="2"/>
  <c r="J294" i="2"/>
  <c r="O290" i="2"/>
  <c r="N290" i="2"/>
  <c r="M290" i="2"/>
  <c r="L290" i="2"/>
  <c r="K290" i="2"/>
  <c r="J290" i="2"/>
  <c r="O285" i="2"/>
  <c r="N285" i="2"/>
  <c r="M285" i="2"/>
  <c r="L285" i="2"/>
  <c r="K285" i="2"/>
  <c r="J285" i="2"/>
  <c r="O281" i="2"/>
  <c r="N281" i="2"/>
  <c r="M281" i="2"/>
  <c r="L281" i="2"/>
  <c r="K281" i="2"/>
  <c r="J281" i="2"/>
  <c r="O276" i="2"/>
  <c r="N276" i="2"/>
  <c r="M276" i="2"/>
  <c r="L276" i="2"/>
  <c r="K276" i="2"/>
  <c r="J276" i="2"/>
  <c r="O271" i="2"/>
  <c r="N271" i="2"/>
  <c r="M271" i="2"/>
  <c r="L271" i="2"/>
  <c r="K271" i="2"/>
  <c r="J271" i="2"/>
  <c r="O266" i="2"/>
  <c r="N266" i="2"/>
  <c r="M266" i="2"/>
  <c r="L266" i="2"/>
  <c r="K266" i="2"/>
  <c r="J266" i="2"/>
  <c r="O264" i="2"/>
  <c r="N264" i="2"/>
  <c r="M264" i="2"/>
  <c r="L264" i="2"/>
  <c r="K264" i="2"/>
  <c r="J264" i="2"/>
  <c r="O258" i="2"/>
  <c r="N258" i="2"/>
  <c r="N257" i="2" s="1"/>
  <c r="M258" i="2"/>
  <c r="L258" i="2"/>
  <c r="K258" i="2"/>
  <c r="J258" i="2"/>
  <c r="O254" i="2"/>
  <c r="N254" i="2"/>
  <c r="M254" i="2"/>
  <c r="L254" i="2"/>
  <c r="K254" i="2"/>
  <c r="J254" i="2"/>
  <c r="O250" i="2"/>
  <c r="N250" i="2"/>
  <c r="M250" i="2"/>
  <c r="L250" i="2"/>
  <c r="K250" i="2"/>
  <c r="J250" i="2"/>
  <c r="O247" i="2"/>
  <c r="N247" i="2"/>
  <c r="M247" i="2"/>
  <c r="L247" i="2"/>
  <c r="K247" i="2"/>
  <c r="J247" i="2"/>
  <c r="J245" i="2" s="1"/>
  <c r="N245" i="2"/>
  <c r="L245" i="2"/>
  <c r="O240" i="2"/>
  <c r="O239" i="2" s="1"/>
  <c r="N240" i="2"/>
  <c r="N239" i="2" s="1"/>
  <c r="M240" i="2"/>
  <c r="M239" i="2" s="1"/>
  <c r="L240" i="2"/>
  <c r="L239" i="2" s="1"/>
  <c r="K240" i="2"/>
  <c r="J240" i="2"/>
  <c r="J239" i="2" s="1"/>
  <c r="K239" i="2"/>
  <c r="O226" i="2"/>
  <c r="O225" i="2" s="1"/>
  <c r="N226" i="2"/>
  <c r="N225" i="2" s="1"/>
  <c r="M226" i="2"/>
  <c r="M225" i="2" s="1"/>
  <c r="L226" i="2"/>
  <c r="L225" i="2" s="1"/>
  <c r="K225" i="2"/>
  <c r="J225" i="2"/>
  <c r="O217" i="2"/>
  <c r="N217" i="2"/>
  <c r="M217" i="2"/>
  <c r="L217" i="2"/>
  <c r="K217" i="2"/>
  <c r="J217" i="2"/>
  <c r="O206" i="2"/>
  <c r="N206" i="2"/>
  <c r="M206" i="2"/>
  <c r="M205" i="2" s="1"/>
  <c r="L206" i="2"/>
  <c r="J206" i="2"/>
  <c r="O205" i="2"/>
  <c r="N205" i="2"/>
  <c r="L205" i="2"/>
  <c r="K205" i="2"/>
  <c r="J205" i="2"/>
  <c r="J190" i="2" s="1"/>
  <c r="O196" i="2"/>
  <c r="N196" i="2"/>
  <c r="M196" i="2"/>
  <c r="L196" i="2"/>
  <c r="K196" i="2"/>
  <c r="K190" i="2" s="1"/>
  <c r="J196" i="2"/>
  <c r="O184" i="2"/>
  <c r="N184" i="2"/>
  <c r="M184" i="2"/>
  <c r="L184" i="2"/>
  <c r="K184" i="2"/>
  <c r="J184" i="2"/>
  <c r="O181" i="2"/>
  <c r="N181" i="2"/>
  <c r="M181" i="2"/>
  <c r="L181" i="2"/>
  <c r="K181" i="2"/>
  <c r="J181" i="2"/>
  <c r="O177" i="2"/>
  <c r="N177" i="2"/>
  <c r="M177" i="2"/>
  <c r="L177" i="2"/>
  <c r="K177" i="2"/>
  <c r="J177" i="2"/>
  <c r="O175" i="2"/>
  <c r="N175" i="2"/>
  <c r="M175" i="2"/>
  <c r="L175" i="2"/>
  <c r="K175" i="2"/>
  <c r="J175" i="2"/>
  <c r="O171" i="2"/>
  <c r="N171" i="2"/>
  <c r="M171" i="2"/>
  <c r="L171" i="2"/>
  <c r="K171" i="2"/>
  <c r="J171" i="2"/>
  <c r="O161" i="2"/>
  <c r="N161" i="2"/>
  <c r="M161" i="2"/>
  <c r="M119" i="2" s="1"/>
  <c r="L161" i="2"/>
  <c r="K161" i="2"/>
  <c r="J161" i="2"/>
  <c r="O152" i="2"/>
  <c r="N152" i="2"/>
  <c r="M152" i="2"/>
  <c r="L152" i="2"/>
  <c r="K152" i="2"/>
  <c r="J152" i="2"/>
  <c r="O146" i="2"/>
  <c r="N146" i="2"/>
  <c r="M146" i="2"/>
  <c r="L146" i="2"/>
  <c r="K146" i="2"/>
  <c r="J146" i="2"/>
  <c r="O139" i="2"/>
  <c r="N139" i="2"/>
  <c r="M139" i="2"/>
  <c r="L139" i="2"/>
  <c r="K139" i="2"/>
  <c r="J139" i="2"/>
  <c r="O131" i="2"/>
  <c r="N131" i="2"/>
  <c r="M131" i="2"/>
  <c r="L131" i="2"/>
  <c r="K131" i="2"/>
  <c r="J131" i="2"/>
  <c r="O120" i="2"/>
  <c r="N120" i="2"/>
  <c r="M120" i="2"/>
  <c r="L120" i="2"/>
  <c r="L119" i="2" s="1"/>
  <c r="K120" i="2"/>
  <c r="J120" i="2"/>
  <c r="O116" i="2"/>
  <c r="N116" i="2"/>
  <c r="M116" i="2"/>
  <c r="L116" i="2"/>
  <c r="K116" i="2"/>
  <c r="J116" i="2"/>
  <c r="O114" i="2"/>
  <c r="N114" i="2"/>
  <c r="M114" i="2"/>
  <c r="L114" i="2"/>
  <c r="K114" i="2"/>
  <c r="J114" i="2"/>
  <c r="O112" i="2"/>
  <c r="N112" i="2"/>
  <c r="M112" i="2"/>
  <c r="L112" i="2"/>
  <c r="K112" i="2"/>
  <c r="J112" i="2"/>
  <c r="O110" i="2"/>
  <c r="O108" i="2" s="1"/>
  <c r="N110" i="2"/>
  <c r="M110" i="2"/>
  <c r="M108" i="2" s="1"/>
  <c r="L110" i="2"/>
  <c r="L108" i="2" s="1"/>
  <c r="K110" i="2"/>
  <c r="J110" i="2"/>
  <c r="K108" i="2"/>
  <c r="J108" i="2"/>
  <c r="O104" i="2"/>
  <c r="O103" i="2" s="1"/>
  <c r="N104" i="2"/>
  <c r="M104" i="2"/>
  <c r="M103" i="2" s="1"/>
  <c r="L104" i="2"/>
  <c r="L103" i="2" s="1"/>
  <c r="K104" i="2"/>
  <c r="K103" i="2" s="1"/>
  <c r="J104" i="2"/>
  <c r="J103" i="2" s="1"/>
  <c r="N103" i="2"/>
  <c r="O100" i="2"/>
  <c r="N100" i="2"/>
  <c r="M100" i="2"/>
  <c r="L100" i="2"/>
  <c r="K100" i="2"/>
  <c r="J100" i="2"/>
  <c r="O98" i="2"/>
  <c r="O97" i="2" s="1"/>
  <c r="N98" i="2"/>
  <c r="N97" i="2" s="1"/>
  <c r="M98" i="2"/>
  <c r="M97" i="2" s="1"/>
  <c r="L98" i="2"/>
  <c r="K98" i="2"/>
  <c r="K97" i="2" s="1"/>
  <c r="J98" i="2"/>
  <c r="J97" i="2" s="1"/>
  <c r="L97" i="2"/>
  <c r="O93" i="2"/>
  <c r="N93" i="2"/>
  <c r="N92" i="2" s="1"/>
  <c r="M93" i="2"/>
  <c r="M92" i="2" s="1"/>
  <c r="L93" i="2"/>
  <c r="L92" i="2" s="1"/>
  <c r="K93" i="2"/>
  <c r="K92" i="2" s="1"/>
  <c r="J93" i="2"/>
  <c r="J92" i="2" s="1"/>
  <c r="O92" i="2"/>
  <c r="O87" i="2"/>
  <c r="N87" i="2"/>
  <c r="M87" i="2"/>
  <c r="L87" i="2"/>
  <c r="K87" i="2"/>
  <c r="J87" i="2"/>
  <c r="O85" i="2"/>
  <c r="N85" i="2"/>
  <c r="M85" i="2"/>
  <c r="L85" i="2"/>
  <c r="K85" i="2"/>
  <c r="J85" i="2"/>
  <c r="O81" i="2"/>
  <c r="N81" i="2"/>
  <c r="M81" i="2"/>
  <c r="L81" i="2"/>
  <c r="K81" i="2"/>
  <c r="J81" i="2"/>
  <c r="O74" i="2"/>
  <c r="N74" i="2"/>
  <c r="N70" i="2" s="1"/>
  <c r="M74" i="2"/>
  <c r="M70" i="2" s="1"/>
  <c r="L74" i="2"/>
  <c r="L70" i="2" s="1"/>
  <c r="K74" i="2"/>
  <c r="K70" i="2" s="1"/>
  <c r="J74" i="2"/>
  <c r="J70" i="2" s="1"/>
  <c r="O71" i="2"/>
  <c r="N71" i="2"/>
  <c r="M71" i="2"/>
  <c r="L71" i="2"/>
  <c r="K71" i="2"/>
  <c r="J71" i="2"/>
  <c r="O65" i="2"/>
  <c r="N65" i="2"/>
  <c r="M65" i="2"/>
  <c r="L65" i="2"/>
  <c r="K65" i="2"/>
  <c r="J65" i="2"/>
  <c r="O60" i="2"/>
  <c r="N60" i="2"/>
  <c r="M60" i="2"/>
  <c r="L60" i="2"/>
  <c r="K60" i="2"/>
  <c r="J60" i="2"/>
  <c r="O59" i="2"/>
  <c r="N59" i="2"/>
  <c r="M59" i="2"/>
  <c r="L59" i="2"/>
  <c r="N57" i="2"/>
  <c r="N55" i="2" s="1"/>
  <c r="L57" i="2"/>
  <c r="J57" i="2"/>
  <c r="O56" i="2"/>
  <c r="O55" i="2" s="1"/>
  <c r="N56" i="2"/>
  <c r="M56" i="2"/>
  <c r="M55" i="2" s="1"/>
  <c r="L56" i="2"/>
  <c r="L55" i="2" s="1"/>
  <c r="K56" i="2"/>
  <c r="K55" i="2" s="1"/>
  <c r="J56" i="2"/>
  <c r="J55" i="2"/>
  <c r="O54" i="2"/>
  <c r="N54" i="2"/>
  <c r="M54" i="2"/>
  <c r="L54" i="2"/>
  <c r="J54" i="2"/>
  <c r="N53" i="2"/>
  <c r="L52" i="2"/>
  <c r="O51" i="2"/>
  <c r="N51" i="2"/>
  <c r="M51" i="2"/>
  <c r="M50" i="2" s="1"/>
  <c r="L51" i="2"/>
  <c r="L50" i="2" s="1"/>
  <c r="O50" i="2"/>
  <c r="N50" i="2"/>
  <c r="K50" i="2"/>
  <c r="J50" i="2"/>
  <c r="O45" i="2"/>
  <c r="N45" i="2"/>
  <c r="M45" i="2"/>
  <c r="L45" i="2"/>
  <c r="K45" i="2"/>
  <c r="J45" i="2"/>
  <c r="O39" i="2"/>
  <c r="O32" i="2" s="1"/>
  <c r="N32" i="2"/>
  <c r="M32" i="2"/>
  <c r="L32" i="2"/>
  <c r="K32" i="2"/>
  <c r="J32" i="2"/>
  <c r="O29" i="2"/>
  <c r="N29" i="2"/>
  <c r="M29" i="2"/>
  <c r="L29" i="2"/>
  <c r="K29" i="2"/>
  <c r="J29" i="2"/>
  <c r="J28" i="2" l="1"/>
  <c r="J27" i="2"/>
  <c r="O119" i="2"/>
  <c r="O245" i="2"/>
  <c r="K314" i="2"/>
  <c r="J119" i="2"/>
  <c r="M28" i="2"/>
  <c r="M190" i="2"/>
  <c r="L314" i="2"/>
  <c r="O70" i="2"/>
  <c r="N108" i="2"/>
  <c r="K245" i="2"/>
  <c r="J257" i="2"/>
  <c r="M314" i="2"/>
  <c r="K119" i="2"/>
  <c r="N119" i="2"/>
  <c r="K257" i="2"/>
  <c r="O190" i="2"/>
  <c r="M245" i="2"/>
  <c r="L28" i="2"/>
  <c r="L190" i="2"/>
  <c r="K28" i="2"/>
  <c r="K27" i="2" s="1"/>
  <c r="O257" i="2"/>
  <c r="N190" i="2"/>
  <c r="O28" i="2"/>
  <c r="N28" i="2"/>
  <c r="M27" i="2" l="1"/>
  <c r="M25" i="2" s="1"/>
  <c r="M257" i="2"/>
  <c r="J25" i="2"/>
  <c r="J641" i="2" s="1"/>
  <c r="K25" i="2"/>
  <c r="L257" i="2"/>
  <c r="L27" i="2"/>
  <c r="L25" i="2" s="1"/>
  <c r="O27" i="2"/>
  <c r="O25" i="2" s="1"/>
  <c r="N27" i="2"/>
  <c r="N25" i="2" s="1"/>
  <c r="O17" i="2" l="1"/>
  <c r="N17" i="2"/>
  <c r="M17" i="2"/>
  <c r="O14" i="2"/>
  <c r="N14" i="2"/>
  <c r="M14" i="2"/>
  <c r="M16" i="2" l="1"/>
  <c r="M13" i="2"/>
  <c r="M12" i="2" l="1"/>
  <c r="O16" i="2"/>
  <c r="K16" i="2" l="1"/>
  <c r="L16" i="2"/>
  <c r="N16" i="2"/>
  <c r="J16" i="2"/>
  <c r="J13" i="2" l="1"/>
  <c r="J12" i="2" s="1"/>
  <c r="J10" i="2" s="1"/>
  <c r="O13" i="2" l="1"/>
  <c r="N13" i="2"/>
  <c r="L13" i="2"/>
  <c r="K13" i="2"/>
  <c r="K12" i="2" s="1"/>
  <c r="K10" i="2" s="1"/>
  <c r="O12" i="2" l="1"/>
  <c r="N12" i="2"/>
  <c r="N10" i="2" s="1"/>
  <c r="M10" i="2"/>
  <c r="L12" i="2"/>
  <c r="L10" i="2" l="1"/>
  <c r="O10" i="2"/>
</calcChain>
</file>

<file path=xl/sharedStrings.xml><?xml version="1.0" encoding="utf-8"?>
<sst xmlns="http://schemas.openxmlformats.org/spreadsheetml/2006/main" count="2739" uniqueCount="993">
  <si>
    <t>Код главного распорядителя бюджетных средств</t>
  </si>
  <si>
    <t>Наименование расходного обязательства</t>
  </si>
  <si>
    <t>Правовое основание финансового обеспечения и расходования средств (нормативные правовые акты, договоры, соглашения)</t>
  </si>
  <si>
    <t>Код бюджетной классификации</t>
  </si>
  <si>
    <t>Объем бюджетных ассигнований, тыс. рублей</t>
  </si>
  <si>
    <t xml:space="preserve">Реквизиты </t>
  </si>
  <si>
    <t>Раздел, подраздел, глава, статья, часть, пункт, подпункт, абзац</t>
  </si>
  <si>
    <t>Дата вступления в силу, срок действия</t>
  </si>
  <si>
    <t>Рз</t>
  </si>
  <si>
    <t>Пр</t>
  </si>
  <si>
    <t>КЦСР</t>
  </si>
  <si>
    <t>КВР</t>
  </si>
  <si>
    <t>2024 год</t>
  </si>
  <si>
    <t>план</t>
  </si>
  <si>
    <t>факт</t>
  </si>
  <si>
    <t>Раздел I. Расходные обязательства, возникшие в результате реализации ст.15, 15.1 Федерального закона от 6 октября 2003 года №131-ФЗ "Об общих принципах организации местного самоуправления в Российской Федерации"</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</si>
  <si>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</si>
  <si>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131-ФЗ от 06.10.03 г.</t>
  </si>
  <si>
    <t>ст. 15 п.1</t>
  </si>
  <si>
    <t>01.01.09 г., не ограничен</t>
  </si>
  <si>
    <t>01</t>
  </si>
  <si>
    <t>03</t>
  </si>
  <si>
    <t>5010000190</t>
  </si>
  <si>
    <t xml:space="preserve">Устав МО Крымский район, принятый решением Совета МО Крымский район №175 от 26.04.2017г. </t>
  </si>
  <si>
    <t>гл.5 ст.23,25,26,27</t>
  </si>
  <si>
    <t>24.05.2017 г. -бессрочно</t>
  </si>
  <si>
    <t>5020000190</t>
  </si>
  <si>
    <t>121</t>
  </si>
  <si>
    <t>129</t>
  </si>
  <si>
    <t>Распоряжение руководителя, аванс.отчет</t>
  </si>
  <si>
    <t>122</t>
  </si>
  <si>
    <t xml:space="preserve"> 1.НК РФ часть 1, 2.Федеральный закон № 167-ФЗ от 15.12.2001 г., 3.Федеральный закон № 27-ФЗ от 01.04.1996 г., 4.Федеральный закон № 165-ФЗ от 16.07.1999 г.</t>
  </si>
  <si>
    <t>1. 01.01.99 г. - не ограничен, 2.от 17.12.01 г.- не ограничен, 3.01.01.97 г.-не ограничен, 4.19.07.99 г.-не ограгичен</t>
  </si>
  <si>
    <t>244</t>
  </si>
  <si>
    <t>ч.1 гл.30 ст.372-386</t>
  </si>
  <si>
    <t>851</t>
  </si>
  <si>
    <t>ч.1 гл.28 ст.356-363</t>
  </si>
  <si>
    <t>852</t>
  </si>
  <si>
    <t xml:space="preserve">1.ФЗ -146 от 31.07.98 г. (налоговый кодекс), 2.ФЗ -7 "Об охране окружающей среды" от 10.01.02 г. </t>
  </si>
  <si>
    <t>1.ч.1 гл.11 ст.75, 2. гл.4 ст.16</t>
  </si>
  <si>
    <t>1.01.01.99  г.- не ограничен, 2. с даты опубликования - не ограничен</t>
  </si>
  <si>
    <t>853</t>
  </si>
  <si>
    <t>2025 год</t>
  </si>
  <si>
    <t>243</t>
  </si>
  <si>
    <t>Дог. №3 от 23.03.22г.</t>
  </si>
  <si>
    <t>С даты заключения по 21.03.2022г. г.</t>
  </si>
  <si>
    <t>С даты заключения по 31.12.2022 г.</t>
  </si>
  <si>
    <t>01.01.99  г.- не ограничен</t>
  </si>
  <si>
    <t xml:space="preserve">Отчетный финансовый год  (2022) </t>
  </si>
  <si>
    <t>2026 год</t>
  </si>
  <si>
    <t>Дог. 84 от 9.01.23г, дог.84-Б2 от 9.01.23г,  дог. б/н, от 17.04.23г., дог. 5 от 16.05.23г., дог. ТТТ7033348591 от 9.03.23г., дог. GR11204676 от9.01.23г, дог.GR11205112 от 9.06.23г., дог.б/н от 12.01.23г., дог. №84 от 11.01.21 г., дог. №84 от 24.01.22г., дог. №84-Б2 от 07.02.22г., дог. №15410091/22 от 02.03.22г., дог. б/н от 01.03.22г., дог. б/н от 21.03.22г., дог.№ 15410091/22 от 02.03.22г., дог. №39-22 от 06.06.22г., дог. № ТТТ701382036 от 09.03.22г., дог. № GR11203589 от 17.11.21г., дог. №GR11203144 от 09.06.21г., дог.GR1.12.040.2 от 17.06.22г., дог. №12 от 09.03.22г.</t>
  </si>
  <si>
    <t>1.Решение Совета МО Крымский район от 21.12.2022г. № 279 "Об утверждении Положения об оплате труда муниципальных служащих органов местного самоуправления МО Крымский район".                                   2.Решение Совета МО Крымский район от 23.05.2018г. №305 "Об утверждении Положения об оплате труда лиц, замещающих муниципальные должности в органах местного самоуправления муниципального образования Крымский район"3. распоряжение председателя Совета МО Крымский район №39 от28.12.22г.</t>
  </si>
  <si>
    <t>1. 21.12.2022г.-не ограничен; 2 .28.12.2022г. - не ограничен</t>
  </si>
  <si>
    <t>1.Решение Совета МО Крымский район от 21.12.2022г. № 279 "Об утверждении Положения об оплате труда муниципальных служащих органов местного самоуправления МО Крымский район".                                                                                                                                                 2.Решение Совета МО Крымский район от 23.05.2018г. №305 "Об утверждении Положения об оплате труда лиц, замещающих муниципальные должности в органах местного самоуправления муниципального образования Крымский район"3. распоряжение председателя Совета МО Крымский район №39 от28.12.22г.</t>
  </si>
  <si>
    <t>ФЗ -146 от 31.07.98 г.                         (налоговый кодекс)</t>
  </si>
  <si>
    <t>ФЗ -146 от 31.07.98 г.                               (налоговый кодекс)</t>
  </si>
  <si>
    <t>2023 год по состоянию на 29.12.23г.</t>
  </si>
  <si>
    <t>Сводный реестр расходных обязательств муниципального образования Крымский район</t>
  </si>
  <si>
    <t>к утвержденному бюджету на 2024 год и плановый период 2025 и 2026 годов</t>
  </si>
  <si>
    <t>Всего по Совету муниципального образования Крымский район</t>
  </si>
  <si>
    <t>Раздел 1. Расходные обязательства, возникшие в результате принятия нормативных правовых актов муниципального района , заключения договоров (соглашений) в рамках реализации вопросов местного значения муниципального района (реализация полномочий в соответствии со ст.14, ст.15, ст.17 Федерального закона от 6 октября 2003 года №131-ФЗ "Об общих принципах организации местного самоуправления в Российской Федерации" ) 3.01.00.0.000-3.02.00.0.000</t>
  </si>
  <si>
    <t>функционирование органов местного самоуправления</t>
  </si>
  <si>
    <t>ст.36</t>
  </si>
  <si>
    <t>01.01.09 г.-не ограничен</t>
  </si>
  <si>
    <t>02</t>
  </si>
  <si>
    <t>1.Устав МО Крымский район, принятый решением Совета МО Крымский район №175 от 26.04.2017 г., 2.решение Совета МО Крымский район № 370 от 19.12.2018 г.3.Решение Совета МО Крымский район от 23.05.2018г.№ 305"Об утверждении Положения об оплате труда лиц, замещающих муниципальные должности в органах местного самоуправления МО Крымский район" 4. решение Совета МО №279 от 21.12.2022г. "Об утвр.Положения об оплате труда, лиц замещающих муниципальные должности в органах местного самоуправления муниципального образования Крымский район"</t>
  </si>
  <si>
    <t xml:space="preserve">1.гл. 1 ст.7 , гл.5 ст.30, ст.33; 3.п.1; прил.1 ст.2
</t>
  </si>
  <si>
    <t>1.24.05.2017г.-не ограничен, 2.01.01.2019 г.-31.12.2019 г.3.01.06.2018г.- не ограничен                  4. с 1.01.2023г.-не ограничен</t>
  </si>
  <si>
    <t>1.НК РФ часть 1,2.Федеральный закон № 167-ФЗ от 15.12.2001г., 3.Федеральный закон № 27-ФЗ от 01.04.1996г., 4.Федеральный закон № 165-ФЗ от 16.07.99г. 5. "ЕНС". изменения внесены Федеральным законом от 14.07.2022 №263-ФЗ</t>
  </si>
  <si>
    <t>1. 01.01.99г. - не ограничен, 2.от 17.12.01г.- не ограничен, 3.01.01.97г.-не ограничен, 4.19.07.99г.-не ограгичен              5. с 1.01.23г. не ограничен</t>
  </si>
  <si>
    <t xml:space="preserve">1.Устав МО Крымский район, принятый решением Совета МО Крымский район №175 от 26.04.2017г., 2. решение Совета МО Крымский район от 04.04.2019г.№ 411 "О структуре администрации МО Крымский район", 3.Решение Совета МО Крымский район № 370 от 19.12.2018 г. </t>
  </si>
  <si>
    <t xml:space="preserve">1.гл. 2 ст.8 п.1, гл.5 ст.22 п.1 </t>
  </si>
  <si>
    <t>1.с 24.05.2017г.-не ограничен, 2. с 04.04.19 г.- не ограничен; 3.01.01.19 г. не ограничен</t>
  </si>
  <si>
    <t>04</t>
  </si>
  <si>
    <t>5110000190</t>
  </si>
  <si>
    <t>1.Решение Совета МО Крымский район от 23.05.2018г. №304 "Об утверждении Положения об оплате труда муниципальных служащих органов местного самоуправления МО Крымский район", 2. Пост.администрации МО Крымский район №947 от 22.06.2018 г. "Положение об оплате труда работников органов местного самоуправления МО Крымский район, замещающих должности, не являющиеся должностями муниципальной службы МО Крымский район", 3.Пост.адм-ции МО Крымский район №2276 от 25.12.18 г. (с учетом изменений) 4.4. решение Совета МО №279 от 21.12.2022г. "Об утвр.Положения об оплате труда, лиц замещающих муниципальные должности в органах местного самоуправления муниципального образования Крымский район"</t>
  </si>
  <si>
    <t>с 01.06.2018г. -не ограничен; 2.с 01.06.2018 г.- не ограничен; 3. с 01.01.19 г.- не ограничен                  4. с 1.01.2023г.-не ограничен</t>
  </si>
  <si>
    <t>1.НК РФ часть 1,2.Федеральный закон № 167-ФЗ от 15.12.2001г., 3.Федеральный закон № 27-ФЗ от 01.04.1999г., 4.Федеральный закон № 165-ФЗ от 16.07.1999г. 5. "ЕНС". изменения внесены Федеральным законом от 14.07.2022 №263-ФЗ</t>
  </si>
  <si>
    <t>1.Распоряжение руководителя (команд.расходы), 2. Указ  Президента РФ №1110 от 30.05.94 г. (с учетом изменеий) 3. 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</si>
  <si>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ст.168 ТК РФ</t>
  </si>
  <si>
    <t>1.2021г.          , 2.с даты опубликования-бессрочно            3. с даты опубликования -бессрочно</t>
  </si>
  <si>
    <t>МК №08186000040190000860001 от 24.06.19 г., №126 от 14.08.19 г., №127 от 14.08.19г., №128 от 14.08.19г., №129 от 14.08.19 г., №130-132 от 15.08.19 г.,№133-136 от 16.08.19 г., №209 от 22.11.19 г., №210 от 22.11.19 г.</t>
  </si>
  <si>
    <t>С даты заключения по 31.12.2019г.</t>
  </si>
  <si>
    <t>Приказ № 85н</t>
  </si>
  <si>
    <t>ст.247</t>
  </si>
  <si>
    <t>С даты заключения по 31.12.2022.</t>
  </si>
  <si>
    <t>1.Постановление № 414 от 01.03.2021г. (с учетом изменений)                      2.Заключенные договора согл. ст. 93 ч. 1 п. 1 №44-ФЗ от 05.04.2013г. (связь); ст. 93 ч. 1 п. 4 №44-ФЗ от 05.04.2013г. (дог.раз.характера); контракты (электронный аукцион)</t>
  </si>
  <si>
    <t>бн от 29.09.23г, бн от 16.01.23, бн от 6.02.23г., №3/6-2023-15 от 16.03.23г, бн от 31.07.23г, бн от 4.08.23г, бн от 10.08.23г, бн от 14.08.23г, №БПБ/2023/8-193 от 25.09.23г.,дог.1 от 08.11.22г, №КР-15-03818-22 от 16.01.23г, №1 от 16.01.23г, дог.1 от 27.01.23г, дог.228 от 29.12.21г., дог.5 от 16.01.23г, дог 6 от 16.01.23г., дог 7 от 16.01.23г, дог.8 от 16.01.23г, дог.9 от 16.01.23г, дог.11 от 20.01.23г, дог.24 от 27.01.23г, дог 17 от 30.01.23г, дог.10 от 26.01.23г, мк 0818600004022000231 от 23.01.23г, мк 0818600004023000051 от 14.08.23г, дог.174 от 20.01.23г, дог Кк-23/169 от 11.10.23г, мк 0818600004022000196 от 26.09.22г, мк 0818600004022000211 от 12.12.22г, мк 0818600004023000037 от 20.06.23г.</t>
  </si>
  <si>
    <t>1. с даты подписания - бессрочно       2.С даты заключения по 31.12.2023г.</t>
  </si>
  <si>
    <t>245</t>
  </si>
  <si>
    <t>1.Постановление № 414 от 01.03.2021г. (с учетом изменений)                                 2. 44 ФЗ от 05.04.2013г.</t>
  </si>
  <si>
    <t>ч.1 ст.93 п.8, п.29, п.4</t>
  </si>
  <si>
    <t>С даты заключения по 31.12.2023г.</t>
  </si>
  <si>
    <t>247</t>
  </si>
  <si>
    <t>Расходы по уплате госпошлины: решение арб. суда КК, дело № А32-22618/2022 от 30.11.22г., дело №2-399/2023 от 26.06.23г.</t>
  </si>
  <si>
    <t>В течение финансового года</t>
  </si>
  <si>
    <t>831</t>
  </si>
  <si>
    <t>ФЗ -146 от 31.07.98 г. (налоговый кодекс) н-г на имущ-во, зем.налог                        -ЕСН с 01.01.23г.</t>
  </si>
  <si>
    <t>ФЗ -146 от 31.07.98 г. (налоговый кодекс) трансп.н-г                                                       -ЕСН с 01.01.23г.</t>
  </si>
  <si>
    <t>1.ФЗ -146 от 31.07.98 г. (налоговый кодекс) пени, штрафы, 2. Реш. Съезда Совета МО №5 от 17.04.19г. (членские взн.) 3.штрафные санкции  по мк 47 от 16.01.23г, пеня по страх.взн. треб. №231723100162902 от 24.05.23г, неустойка №11-05/02 от 11.05.23г, траф № треб. 033S01225713355/2898 от 22.04.22г.,штраф за непредст.свед-й с/но требов №033S0122А00Х69Q/3058 от 06.09.22, штраф реш.№2165 от 24.08.23г, штрафные санкции мк 47 от 16.01.23г</t>
  </si>
  <si>
    <t>1.01.01.99  г.- не ограничен, 2. с даты опубликования - не ограничен      3. 2023г.</t>
  </si>
  <si>
    <t>1.Решение Совета МО Крымский район от 18.02.2020г. "Об утверждении Положения об отделе капитального строительства администрации  Решение №5 от 17.04.2019г. Крымский район, 2. Решение Совета МО Крымский район</t>
  </si>
  <si>
    <t xml:space="preserve">1 С даты подписания не ограничен          2. С даты подписания не ограничен                   </t>
  </si>
  <si>
    <t>12</t>
  </si>
  <si>
    <t>Решения Совета МО Крымский район от 23.05.2018г. №304 "Об утверждении Положения об оплате труда муниципальных служащих органов местного самоуправления МО Крымский район</t>
  </si>
  <si>
    <t>п.1</t>
  </si>
  <si>
    <t>с 01.06.2018г.-не ограничен</t>
  </si>
  <si>
    <t>1.Распоряжение руководителя (командир.расходы)  2.Постановление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</si>
  <si>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1.2022г.                           2.с даты опубликования -бессрочно                        3. с даты опубликования -бессрочно</t>
  </si>
  <si>
    <t>НК РФ часть 1, 2.Федеральный закон №167-ФЗ от 15.12.2001г., 3. ФЗ №27-ФЗ от 01.04.1996г. 4. "ЕНС". изменения внесены Федеральным законом от 14.07.2022 №263-ФЗ</t>
  </si>
  <si>
    <t>1. 01.01.99г. Не ограничен 2. от 17.12.01г.-не ограничен 3. 01.01.97г. -не ограничен 4. 19.07.99г. 5. с 1.01.23г. не ограничен</t>
  </si>
  <si>
    <t>бн от 10.05.23г, бн от 12.07.23г, дог.170-К от 11.05.23г, дог. 68-2023-МУ, дог. Кк-23/169 от 11.10.23г, бн от 07.03.23, мк 0818600004023000008 от 05.04.23г, бн от 25.07.23г, мк 0818600004023000055 от 22.08.23г, мк 0818600004023000053 от 22.08.23г, мк 0818600004023000059 от 22.08.23г, мк 0818600004023000052 от 25.08.23г, мк 0818600004023000054 от 25.08.23г, мк. 0818600004023000064 от 04.09.23г</t>
  </si>
  <si>
    <t>1.Решение Совета МО Крымский район от 30.10.2019г.№ 462 "Об утверждении положения об отделе по делам молодежи администрации МО Крымский район" 2.Решение Совета №370 от 19.12.18 г.3. Решение Совета №411 от 04.04.19 г. "О структуре администрации МО Крымский район"</t>
  </si>
  <si>
    <t xml:space="preserve">1. 30.10.2019 - не ограничен; 2. 01.01.19-31.12.19 гг., 3. 04.04.19 г.- не ограничен
</t>
  </si>
  <si>
    <t>07</t>
  </si>
  <si>
    <t>09</t>
  </si>
  <si>
    <t>Решение Совета МО Крымский район от 23.05.2018г. №304 "Об утверждении Положения об оплате труда муниципальных служащих органов местного самоуправления МО Крымский район"</t>
  </si>
  <si>
    <t>с 01.06.2018г.- не ограничен</t>
  </si>
  <si>
    <t>1.НК РФ часть 1, 2.Федеральный закон № 167-ФЗ от 15.12.01 г., 3.Федеральный закон № 27-ФЗ от 01.04.96 г., 4.Федеральный закон № 165-ФЗ от 16.07.99 г. 5."ЕНС". изменения внесены Федеральным законом от 14.07.2022 №263-ФЗ</t>
  </si>
  <si>
    <t>1. 01.01.99 г. - не ограничен, 2.от 17.12.01 г.- не ограничен, 3.01.01.97 г.-не ограничен, 4.19.07.99 г.-не ограгичен 5. с 1.01.23г. не ограничен</t>
  </si>
  <si>
    <t>1.Распоряжение руководителя (команд.расходы), 2. Указ  Президента РФ №1110 от 30.05.94 г. (с учетом изменеий)3.Постановление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</si>
  <si>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дог.222 от 05.12.23г, мк 0818600004023000064 от 04.09.23г., мк 0818600004023000054 от 25.08.23г., мк 0818600004023000052 от 25.08.23г, мк. 0818600004023000059 от 22.08.23г, мк 0818600004023000053 от 22.08.23г., мк 0818600004023000008 от 05.04.23г.</t>
  </si>
  <si>
    <t>с даты заключения по 31.12.23 г.</t>
  </si>
  <si>
    <t xml:space="preserve">1."Положение об управлении образования администрации МО Крымский район"от 21.03.2018г.№ 273, 2. Решение Совета №370 от 19.12.2018 г., 3.решение Совета МО Крымский район от 04.04.2019г.№ 411 "О структуре администрации МО Крымский район" </t>
  </si>
  <si>
    <t xml:space="preserve">п.1; п/п2
</t>
  </si>
  <si>
    <t xml:space="preserve">1.17.04.2018 - не ограничен; 2. 01.01.19-31.12.19 гг, 3.04.04.19 г.-не ограничен 
</t>
  </si>
  <si>
    <t>1.Распоряжение руководителя (команд.расходы), 2. Указ  Президента РФ №1110 от 30.05.94 г. (с учетом изменеий) 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</si>
  <si>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1.НК РФ часть 1,2.Федеральный закон № 167-ФЗ от 15.12.01 г., 3.Федеральный закон № 27-ФЗ от 01.04.96 г., 4.Федеральный закон № 165-ФЗ от 16.07.99 г. 5. "ЕНС". изменения внесены Федеральным законом от 14.07.2022 №263-ФЗ</t>
  </si>
  <si>
    <t xml:space="preserve"> мк 0818600004023000064 от 04.09.23г., мк 0818600004023000054 от 25.08.23г., мк 0818600004023000052 от 25.08.23г, мк. 0818600004023000059 от 22.08.23г, мк 0818600004023000053 от 22.08.23г., мк. 0818600004023000008 от 05.04.2023г.</t>
  </si>
  <si>
    <t>С даты заключения по 31.12.2023 г.</t>
  </si>
  <si>
    <t xml:space="preserve"> 1.Решение Совета "Положение об управлении культуры администрации МО Крымский район"от 26.07.2017г.№194, 2. Решение Совета №370 от 19.12.2018 г. 3.решение Совета МО Крымский район от 04.04.2019г.№ 411 "О структуре администрации МО Крымский район"  </t>
  </si>
  <si>
    <t xml:space="preserve">1.26.07.2017 г. - не ограничен; 2.01.01.2019 г.-31.12.2019 г., 3.04.04.2019 г.- не ограничен
</t>
  </si>
  <si>
    <t>08</t>
  </si>
  <si>
    <t>дог. 1994 от 22.08.23г, дог. Кк-23/169 от 11.10.23г, бн от 25.12.23г, мк 0818600004023000008 от 05.04.23г, мк 0818600004023000055 от 22.08.23г, мк 0818600004023000053 от 22.08.23г, мк 0818600004023000059 от 22.08.23г, мк 0818600004023000052 от 25.08.23г, мк 0818600004023000054 от 25.08.23г, мк 0818600004023000064 от 04.09.23г</t>
  </si>
  <si>
    <t xml:space="preserve">1.Решение Совета МО Крымский район №337 от 28.08.2013 г. "Об утверждении положения об управлении по физической культуре и спорту администрации МО Крымский район", 2.решение Совета МО Крымский район от 04.04.2019г.№ 411 "О структуре администрации МО Крымский район" , 3.решение Совета МО Крымский район №370 от 19.12.18 г. </t>
  </si>
  <si>
    <t xml:space="preserve">1.01.01.2014 - не ограничен; 2. 04.04.2019 г.-не ограничен
</t>
  </si>
  <si>
    <t>11</t>
  </si>
  <si>
    <t>05</t>
  </si>
  <si>
    <t>дог. 62-2023-МУ от 06.06.23г, дог.Кк-23/169 от 11.10.23г, дог. 219 от 23.11.23г, мк 0818600004023000008 от 05.04.23г, мк 0818600004023000055 от 22.08.23г, мк 0818600004023000053 от 22.08.23г, мк 0818600004023000059 от 22.08.23г, мк 0818600004023000052 от 25.08.23г, мк 0818600004023000054 от 25.08.23г, мк 0818600004023000064 от 04.09.23г</t>
  </si>
  <si>
    <t>владение, пользование имуществом, находящимся в муниципальной собственности муниципального района</t>
  </si>
  <si>
    <t xml:space="preserve">131-Фз от 06.10.03 г. </t>
  </si>
  <si>
    <t>ст.15 п.1 п/п.3</t>
  </si>
  <si>
    <t xml:space="preserve">01.01.09 г.- не ограничен </t>
  </si>
  <si>
    <t>Устав МО Крымский район №175 от 26.04.2017г.</t>
  </si>
  <si>
    <t>гл. 2 ст.8 п.1 п/п. 3, гл.8 ст.71</t>
  </si>
  <si>
    <t>с 24.05.2017г.-не ограничен</t>
  </si>
  <si>
    <t>13</t>
  </si>
  <si>
    <t>5210120310</t>
  </si>
  <si>
    <t>дог.22 от 10.02.21г, дог 2023-09/31 от 06.02.23г, дог. 2023-009/43 от 22.02.23г, дог. 2023-009/46 от 27.02.23г, дог. 100 от 05.07.23г, дог. 132 от 16.08.23г, дог.165 от 29.09.23г.</t>
  </si>
  <si>
    <t>Расходы по уплате госпошлины</t>
  </si>
  <si>
    <t>Оплата расходов за судебную  экспертизу согл.опред. от 25.05.2023г.</t>
  </si>
  <si>
    <t>5210211000</t>
  </si>
  <si>
    <t>дог.КР-15-02336-23 от 9.10.23г, дог.3 от 26.01.23г, дог.34 от 06.02.23г, дог.1 от 16.01.23г, дог.23/23 от 14.03.23г, дог. 92 от 09.06.23г, дог. 107 от 29.06.23г, дог.106 от 29.06.23г, дог. 88/23 от 19.09.23г, дог. 182 от 23.10.23г.</t>
  </si>
  <si>
    <t>1.ч.1 ст.93 п.8, п.29, п.4                          2. дог.103/22 от 13.01.22г, дог.103/22 от 27.01.23г, дог.162/23 от 9.10.23г,дог. 161/23 от09.10.23г, дог.230910001142 от 30.10.23г</t>
  </si>
  <si>
    <t>1.ФЗ -146 от 31.07.98 г. (налоговый кодекс) пени, штрафы</t>
  </si>
  <si>
    <t>Штрафные санкции за несвоев.опл.за Эл/эн, сч.20283 от 30.11.23, м.к.230910001142 от01.09.23</t>
  </si>
  <si>
    <t>дог. 203 от 09.01.23г, дог.44-2023 от 13.03.23г, дог. 86 от 17.05.23г, дог.71-2023 от 05.05.23г, дог 15Ю/23-43 от 26.05.23г, дог. 91-2023 от 06.06.23г, дог 101 от 20.06.23г, дог.109 от 27.07.23г, дог. 128 от 01.08.23г, дог.15Ю/23-109/217 от 22.11.23г, дог. 224 от 07.12.23г., дог.15Ю/23-122 от 08.12.23г.</t>
  </si>
  <si>
    <t>с даты заключения по 31.12.23г.</t>
  </si>
  <si>
    <t>5210220310</t>
  </si>
  <si>
    <t>Расп.админ.МО Крымский район №53-р от 12.02.19 г.</t>
  </si>
  <si>
    <t>12.02.19 г.-31.12.19 г.</t>
  </si>
  <si>
    <t>5140029010</t>
  </si>
  <si>
    <t>350</t>
  </si>
  <si>
    <t>Решение совета МО Крымский район №485 от 18.12.2019г.</t>
  </si>
  <si>
    <t>с 01.01.21г.</t>
  </si>
  <si>
    <t>5140129010</t>
  </si>
  <si>
    <t>дог. 12-2022-Д-121/200 от 16.02.23г, дог.2023-009/41 от 22.02.23г, дог.18 от 26.01.23г</t>
  </si>
  <si>
    <t>С даты заключения по 31.12.23г.</t>
  </si>
  <si>
    <t>Расходы по уплате госпошлины: решение арб. суда</t>
  </si>
  <si>
    <t>исп.лист №2а-1575/19 от 29.01.21г, исп.лист № 2-1124/2022 от 24.04.23г, оплата госпошлины дело № А32-59111/21 от 23.03.23г., исп.лист № 2-294/2022 от 25.05.223г, исполн.лист № 2а-1575/2019 от 29.06.23г, госпошлина дело№ А32-7463/2023 от 09.10.23г.</t>
  </si>
  <si>
    <t>В соотв.с датами исполн.листов</t>
  </si>
  <si>
    <t>дело № 32159/19/23046-ИП от 24.04.19г, дело № 81170/1923046-ИП от 05.09.19г, дело № 66657/21/23046-ИП от 28.07.21г, дело №9769/17/23046-ИП от 17.02.17г, дело №9759/17/23046-ИП от 17.02.17г,</t>
  </si>
  <si>
    <t>1.ФЗ от 27 июля 2006 года № 149-ФЗ «Об информации, информационных технологиях и о защите информации», 2. МП «Информатизация МО Крымский район" 1.пост.№2003 от 07.10.2019 г. с учетом изменений.                                             2. Пост. №2084 от 29.07.20233г.</t>
  </si>
  <si>
    <t xml:space="preserve">1.с 01.01.2020г.-31.12.2024г.     2.с 01.01.25 по 31.12.2029гг.
</t>
  </si>
  <si>
    <t>2320110130</t>
  </si>
  <si>
    <t>заключенные договора согл. ст. 93 ч. 1 п. 1 №44-ФЗ от 05.04.2013г. (связь); ст. 93 ч. 1 п. 4 №44-ФЗ от 05.04.2013г. (дог.раз.характера); контракты (электронный аукцион)</t>
  </si>
  <si>
    <t xml:space="preserve">дог. 76 от 13.01.22г, дог.7877 от 13.01.22г, дог 76 лт 27.01.23г, дог.7877 от 27.01.23г, дог.201 от 22.12.22г, дог.236-ЭТО от 27.01.23г, дог.236-ТО от 27.01.23г, дог.36 от 14.02.23г, дог.63 от 30.03.23г, дог.74 от 24.04.23г, дог.89 от 23.05.23г, </t>
  </si>
  <si>
    <t>1.С даты заключения по 31.12.23г.</t>
  </si>
  <si>
    <t>1.ФЗ от 24 июля 2007 года № 209-ФЗ «О развитии малого и среднего предпринимательства в Российской Федерации»                   2.МП "Экономическое развитие и инновационная экономика"постановление №2158 от 29.10.19г.                         3. Пост. № 2001 от 25.07.22г.</t>
  </si>
  <si>
    <t>1. 01.01.2020г.-31.12.2024г.     2. 01.01.2025-31.12.2029гг.</t>
  </si>
  <si>
    <t>1430110180</t>
  </si>
  <si>
    <t>дог.29 от 17.02.2023г, дог.33 от 22.02.23г, дог.126 от 17.08.23г</t>
  </si>
  <si>
    <t>1.МП "Комплексное и устойчивое развитие Крымского района в сфере строительства, архитектуры и дорожного хозяйства" пост №2276 от 15.11.19г. (0640100330 Мероприятия в области архитектуры, строительства и градостроительства), 2. Пост.2158 от 29.07.2022г.</t>
  </si>
  <si>
    <t xml:space="preserve">1.с 01.01.20г.-31.12.24г.                   2. с 01.01.2025-31.12.2029гг.      </t>
  </si>
  <si>
    <t>0640010330</t>
  </si>
  <si>
    <t>мк 0818600004023000048 от 23.08.23г, мк 0818600004023000048 от 23.08.23г.</t>
  </si>
  <si>
    <t>06400S2560</t>
  </si>
  <si>
    <t>1.С даты заключения по 31.12.24г.</t>
  </si>
  <si>
    <t>06400S2570</t>
  </si>
  <si>
    <t>дорожная деятельность в отношении автомобильных дорог местного значения вне границ населенных пунктов в границах МО Крымский район, осуществление муниципального контроля за сохранностью автомобильных дорог местного значения вне границ населенных пунктов в границах МО Крымский район,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</si>
  <si>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1.№131-ФЗ от 06.10.06 г., 2.Устав МО Крымский район №175 от 26.04.2017г.</t>
  </si>
  <si>
    <t>1. Ст.15 п.1п/п5, 2.гл. 2 ст.8 п.1 п/п. 5</t>
  </si>
  <si>
    <t>1.01.01.09 г.-не ограничен, 2.с 24.05.2017г.-не ограничен</t>
  </si>
  <si>
    <t>МП "Комплексное и устойчивое развитие Крымского района в сфере строительства, архитектуры и дорожного хозяйства" пост №2276 от 15.11.19 г. (0620110340 Мероприятия в области дорожного хозяйства),                          2.Пост.2158 от 29.07.2022г.</t>
  </si>
  <si>
    <t>1.С 01.01.20г.-по 31.12.24г.          2. с 2025 по 2029гг.</t>
  </si>
  <si>
    <t>0620110340</t>
  </si>
  <si>
    <t>МО "Капитальный ремонт и ремонт автомобильных дорог муниципального значения" пост. №2740 от 20.09.21г. (Новая МП с 2022г) 2.Пост.2158 от 29.07.2022г.</t>
  </si>
  <si>
    <t>мк 0818600004022000224 от 27.12.22г, дог.92 от 09.06.23г, мк 0818600004023000065 от 12.09.23г, дог. 39 от 06.02.23г., дог.201 от 22.11.23г</t>
  </si>
  <si>
    <t>1.С 01.01.22г.-по 31.12.24г.  2. 01.01.2025-31.12.2029гг.    3.С даты заключения по 31.12.23 г.</t>
  </si>
  <si>
    <t>0810110340</t>
  </si>
  <si>
    <t>МП Крымского района "Повышение безопасности дорожного движения на территории МО Крымский район" пост №2273 от 15.11.19 г. (0710010240 изгот-ие материалов по БДД), 2.Пост.2158 от 29.07.2022г.</t>
  </si>
  <si>
    <t>дог. 190 от 08.11.23г</t>
  </si>
  <si>
    <t>1. С 01.01.20г.-по 31.12.24г.    2. с 01.01.2025-31.12.2029гг.</t>
  </si>
  <si>
    <t>0710010240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</si>
  <si>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</si>
  <si>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1.131-ФЗ от 06.10.03 г., 2. Устав МО Крымский район №175 от 26.04.2017г.</t>
  </si>
  <si>
    <t>1. ст.15 п.1 п/п.6.1., 2.гл. 2 ст.8 п.1 п/п. 28</t>
  </si>
  <si>
    <t>1.  01.01.09 г.- не ограничен; 2.с 24.05.2017г.-не ограничен</t>
  </si>
  <si>
    <t>1.МП"Муниципальная политика и развитие гражданского общества" пост.№2352 от 29.12.18 г., 2. № 2073 от 27.07.2022г.</t>
  </si>
  <si>
    <t>с 01.01.20 г.-31.12.24 г.</t>
  </si>
  <si>
    <t>1610110100</t>
  </si>
  <si>
    <t>дог.42 от 17.02.23г, дог 49 от 07.03.23г, дог.172 от 05.10.23г, дог.236 от 25.12.23г</t>
  </si>
  <si>
    <t>С даты заключения по 31.12.23 г.</t>
  </si>
  <si>
    <t>Участие в предупреждении и ликвидации последствий чрезвычайных ситуаций на территории муниципального района</t>
  </si>
  <si>
    <t xml:space="preserve">1. №131-ФЗ от 06.10.03 г., 2.Устав МО Крымский район №175 от 26.04.2017г. </t>
  </si>
  <si>
    <t xml:space="preserve">1. ст.15 п.1 п/п7; 2. гл. 2 ст.8 п.20       </t>
  </si>
  <si>
    <t>1. с 01.01.09 г.- не ограничен, 2. с 24.05.2017г.-не ограничен</t>
  </si>
  <si>
    <t>0910110080</t>
  </si>
  <si>
    <t>внесение ежегодной платы за использование радиочастотного спектра  дог.23-231-00139 от 18.01.23г, дог.23-232-00509 от 13.04.23г, дог. 23-233-00875 от 13.07.23г, дог. 23-234-01353 от 23.10.23г, дог.020-РЧ/23/205 от 22.11.23г, дог. 021-РЧ/23/206 от 22.11.23г.</t>
  </si>
  <si>
    <t xml:space="preserve"> 1. с 01.01.202 по 31.12.2024гг   2. с 01.01.2025-31.12.2029гг.   3.С даты заключения по 31.12.23г.</t>
  </si>
  <si>
    <t>10</t>
  </si>
  <si>
    <t xml:space="preserve">дог. 09-05-0800-030/23 от 24.11.23г.
</t>
  </si>
  <si>
    <t>Организация охраны общественного порядка на территории муниципального района муниципальной милицией</t>
  </si>
  <si>
    <t xml:space="preserve">1. 131-ФЗ от 06.10.03 г., 2.Устав МО Крымский район №175 от 26.04.2017г. </t>
  </si>
  <si>
    <t>1. ст.15 п.1 п/п 8, 2.гл. 2 ст.8 п.1 п/п. 8</t>
  </si>
  <si>
    <t>1. 01.01.09 г.- не ограничен, 2.с 24.05.2017г.-не ограничен</t>
  </si>
  <si>
    <t>МП «Обеспечение безопасности населения» (0940109560 мероприятия по укреплению правопорядка, профилактика правонарушений, усиление борьбы с преступностью) , пост.адм. №2275 от 15.11.19г.;                                            2. № 2157 от
29.07.2022</t>
  </si>
  <si>
    <t>с 01.01.20г.-31.12.24г.   2. с 01.01.2025-31.12.2029гг.</t>
  </si>
  <si>
    <t>0940109560</t>
  </si>
  <si>
    <t>дог.65 от 13.04,23г, дог.152 от 04.09.23г, дог. 151 от 08.09.23г, бн от 11.09.23г, бн от 06.10.23г, дог.176 от 04.10.23г, дог. 173 от 04.10.23г, дог. 198 от 03.11.23г, дог.199 от 07.11.23г, дог.20 от 08.11.23г, дог.210 от 15.11.23г, дог. 209 от 15.11.23г, дог.208 от 16.11.23г.</t>
  </si>
  <si>
    <t>МП «Организация экологического воспитания и формирования экологической культуры в области обращения с твердыми коммунальными отходами на территории муниципального образования Крымский район» на 2022-2024 годы №698 от 28.03.2022г.   2. Пост. № 2075
от 29.07.2022</t>
  </si>
  <si>
    <t xml:space="preserve">1. с 01.01.2022-31.12.2024гг.     2. с 01.01.2025-31.12.2029гг. </t>
  </si>
  <si>
    <t>1110010661</t>
  </si>
  <si>
    <t>1.МП "Казачество Крымского района" пост.2225 от 20.12.18г., 2. № 2094 от 29.07.2022</t>
  </si>
  <si>
    <t xml:space="preserve">1.согл бн от 9.01.2023г                            2. Согл.заявке № 1 от 12.01.23г, №14 от 13.02.23г, №13 от 07.02.23г, №20 от 03.03.23г, № 29 от 05.04.23г, № 33 от 27.04.23г, № 37 от 19.05.23г, № 45 от 7.07.23г, № 51 от 01.08.23г, № 61 от 06.09.23, № 72 от 06.10.23г.                           </t>
  </si>
  <si>
    <r>
      <t>1.с 01.01.20 г.-31.12.24 г.,     2. с 01.01.2025-31.12.2029гг   3</t>
    </r>
    <r>
      <rPr>
        <sz val="11"/>
        <rFont val="Times New Roman"/>
        <family val="1"/>
        <charset val="204"/>
      </rPr>
      <t>.С даты заключения по 31.12.23 г.</t>
    </r>
  </si>
  <si>
    <t>1710111320</t>
  </si>
  <si>
    <t>633</t>
  </si>
  <si>
    <t xml:space="preserve">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</si>
  <si>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 131-ФЗ от 06.10.03 г., 2.Устав МО Крымский район №175 от 26.04.2017г.</t>
  </si>
  <si>
    <t>1. ст.15 п.1 п/п 25, 2.гл. 2 ст.8 п.1 п/п. 15</t>
  </si>
  <si>
    <t>1. 01.01.2009 г.- не ограничен, 2.с 24.05.2017г.-не ограничен</t>
  </si>
  <si>
    <t>1.МП Крымского района "Экономическое развитие и инновационная экономика" (1410110040 подпрограмма "Муниципальная поддержка малого и среднего предпринимательства) Развитие субъектов малого и среднего предпринимательства)) пост.№2158 от 29.10.19г.      2 Пост.№ 2001 от 25.07.2022</t>
  </si>
  <si>
    <r>
      <rPr>
        <b/>
        <sz val="11"/>
        <rFont val="Times New Roman"/>
        <family val="1"/>
        <charset val="204"/>
      </rPr>
      <t>1.01.01.20 г.-31.12.24 г.,  2. с 01.01.2025-31.12.2029гг.</t>
    </r>
    <r>
      <rPr>
        <sz val="11"/>
        <rFont val="Times New Roman"/>
        <family val="1"/>
        <charset val="204"/>
      </rPr>
      <t xml:space="preserve">           3. с даты заключения по 31.12.23 г.</t>
    </r>
  </si>
  <si>
    <t>1410110040</t>
  </si>
  <si>
    <t xml:space="preserve">1.МП Крымского района "Развитие сельского хозяйства и регулирование рынков сельскохозяйственной продукции" (2410110060)-мероприятия "День Урожая", пост.№2245 от 28.07.21 г. 
</t>
  </si>
  <si>
    <t xml:space="preserve">п.1
</t>
  </si>
  <si>
    <t xml:space="preserve">с 01.01.22г. по 31.12.24г.        2. с 01.01.2025-31.12.2029гг.
</t>
  </si>
  <si>
    <t>2410110060</t>
  </si>
  <si>
    <t>мк 0318300049923000004
от 14.09.23г., мк 0318300049923000005
от 14.09.23г., мк 0318300049923000008
от 20.09.23г.</t>
  </si>
  <si>
    <t>МП "Формирование условий для духовно-нравственного развития граждан" (1810110300 муниципальная поддержка социально ориентированных некоммерческих  и общественных организаций), пост.2000 от 23.11.18г., изм.№3088 от 31.12.20г., № 3935 от 30.12.2022г.</t>
  </si>
  <si>
    <t>1. с 01.01.20г. -по 31.12.24г.  2. с 01.01.2025-31.12.2029гг.</t>
  </si>
  <si>
    <t>1810110300</t>
  </si>
  <si>
    <t>Соглашению б/н от 03.03.23 оплата согласно заявки 55 от 08.12.23</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</si>
  <si>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</si>
  <si>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 131-ФЗ от 06.10.03 г., 2.Устав МО Крымский район №175 от 26.04.2017г.</t>
  </si>
  <si>
    <t xml:space="preserve">1. Ст.15 п.1 п/п 23, 2.гл. 2 ст.8 п.1 п/п.30         </t>
  </si>
  <si>
    <t>1.01.01.09 г.- не ограничен, 2.с 24.05.2017г.-не ограничен</t>
  </si>
  <si>
    <t>9900011530</t>
  </si>
  <si>
    <t>дог. 20 от 13.01.22г, дог. 124 от 25.07.23г, мк 0818600004023000049 от 07.08.23г, дог 160 от 14.09.23г, дог. 3784/188 от 31.10.23г., дог. 192 от 27.10.23г, дог 193 от 27.10.23г., дог.191 от 27.10.23г, дог.20 от 17.01.23г, дог.220 от 04.12.23г.</t>
  </si>
  <si>
    <t>1.131-ФЗ от 06.10.03 г., 2.Устав МО Крымский район №175 от 26.04.2017г.</t>
  </si>
  <si>
    <t xml:space="preserve">1. ст.15 п.16;  2 Гл.2, ст.8 п.1 п/п.13  </t>
  </si>
  <si>
    <t>1.МП "Муниципальная политика и развитие гражданского общества", утв.пост.№792 от 05.09.16г., 2. Согл.№12 от 25.07.19 г.(о предоставл.субс.из краевого бюджета бюджету МО Крымский район) , (АРХИВ)</t>
  </si>
  <si>
    <t>1.01.01.17 г.-31.12.19 г.; 2.25.07.19г.-до исполнения обязательств</t>
  </si>
  <si>
    <t>16301S0610</t>
  </si>
  <si>
    <t>1. МП МО Крымский район "Муниципальная политика и развитие гражданского общества", пост.№2352 от 29.12.18г.      2. Пост.№ 2073 от 27.07.2022г.</t>
  </si>
  <si>
    <t>мк. 0818600004023000005
от 13.03.23г., дог.177 от 19.11.21г, дог.22/Ц-20111 от 20.01.23г, дог.99 от 05.07.23г, дог.138 от 18.08.23г, дог. 187 от 30.10.23г.</t>
  </si>
  <si>
    <t>1.с 01.01.20г. -по 31.12.24г.,          2. с 01.01.2025-31.12.2029 гг.                  3.с даты заключения по 31.12.23г.</t>
  </si>
  <si>
    <t>1630110610</t>
  </si>
  <si>
    <t>финансирование муниципальных учреждений</t>
  </si>
  <si>
    <t>1.№131-ФЗ от 06.10.03 г., 2.Устав МО Крымский район №175 от 26.04.2017г.</t>
  </si>
  <si>
    <t>1. ст.17 ,2.гл. 2 ст.10 п.1 п/п. 3</t>
  </si>
  <si>
    <t>1.01.01.09 г. -не ограничен, 2.с 24.05.2017г.-не ограничен</t>
  </si>
  <si>
    <t xml:space="preserve">1. Устав МКУ "Административно-хозяйственное управление МО Крымский район", утв. постановлением администрации МО Крымский район № 2158 от 30.09.14г. </t>
  </si>
  <si>
    <t>30.09.14г.-не ограничен</t>
  </si>
  <si>
    <t>5150000590</t>
  </si>
  <si>
    <t xml:space="preserve">1.Положение об оплте труда работников муниципальных учреждений МО Крымский район, утв.постановлением администр. МО Крымский район от 22.06.18 г.№946, 2.Пост.адм. №1245 от 09.07.19 г., 3. Приказ МКУ "АХУ"№310-о от 08.12.17 г. "Об утверждении Положения об оплате труда работников учреждения" </t>
  </si>
  <si>
    <t>1.01.06.18 г.-не ограничен, 2.09.07.19 г.- не ограничен, 3.с даты подписания - не ограничен</t>
  </si>
  <si>
    <t>111</t>
  </si>
  <si>
    <t>112</t>
  </si>
  <si>
    <t>1НК РФ часть 1, 2.Федеральный закон № 167-ФЗ от 15.12.2001 г., 3.Федеральный закон № 27-ФЗ от 01.04.1996 г., 4.Федеральный закон № 165-ФЗ от 16.07.1999 г. 5. "ЕНС". изменения внесены Федеральным законом от 14.07.2022 №263-ФЗ</t>
  </si>
  <si>
    <t>1. 01.01.99г. - не ограничен, 2.от 17.12.01г. - не ограничен, 3.01.01.97г. -не ограничен, 4.19.07.99г.-не ограгичен 5. с 1.01.23г. не ограничен</t>
  </si>
  <si>
    <t>119</t>
  </si>
  <si>
    <t xml:space="preserve"> ст. 93 ч. 1 п. 4 №44-ФЗ от 05.04.2013г. (дог.раз.характера); контракты (электронный аукцион)</t>
  </si>
  <si>
    <t xml:space="preserve"> ст. 93 ч. 1 п. 4 №44-ФЗ от 05.04.2013г.</t>
  </si>
  <si>
    <t>Дело №А32-39418/17 от 31.10.2017г.</t>
  </si>
  <si>
    <t>ФЗ -146 от 31.07.98 г. (налоговый кодекс)</t>
  </si>
  <si>
    <t>01.01.99  г.- не ограничег</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</si>
  <si>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</si>
  <si>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п. 9, п.8, п.4</t>
  </si>
  <si>
    <t>1.01.01.99г.- не ограничен,               2.с даты опубликования - не ограничен</t>
  </si>
  <si>
    <t xml:space="preserve">1. Устав МКУ "УЗР", утв. постановлением администрации МО Крымский район №305 от 12.05.16г. </t>
  </si>
  <si>
    <t>12.05.16 г.- не ограничен</t>
  </si>
  <si>
    <t>5210100590</t>
  </si>
  <si>
    <t>1.Положение об оплате труда работников муниципальных учреждений МО Крымский район, утв.постановлением администр. МО Крымский район от 22.06.18 г.№946, 2.Приказ МКУ "УЗР" №5 от 04.02.19 г. "Об утверждении положения об оплате труда работников" 3.Приказ №2 от 01.02.19 г.</t>
  </si>
  <si>
    <t>1.01.06.18г.-не ограничен, 2. 04.02.19г.- не ограничен, 3. даты подписания - не ограничен</t>
  </si>
  <si>
    <t>1.НК РФ часть 1,2.Федеральный закон № 167-ФЗ от 15.12.2001 г., 3.Федеральный закон № 27-ФЗ от 01.04.1996 г., 4.Федеральный закон № 165-ФЗ от 16.07.99 г. 5. "ЕНС". изменения внесены Федеральным законом от 14.07.2022 №263-ФЗ</t>
  </si>
  <si>
    <t>1. 01.01.99г. - не ограничен, 2.от 17.12.01г.- не ограничен, 3.01.01.97г.-не ограничен, 4.19.07.99г.-не ограгичен 5. с 1.01.23г. не ограничен</t>
  </si>
  <si>
    <t xml:space="preserve"> ст. 93 ч. 1 п. 4 №44-ФЗ от 05.04.2013г. (дог.раз.характера)</t>
  </si>
  <si>
    <t xml:space="preserve">ст. 93 ч. 1 п. 4 №44-ФЗ от 05.04.2013г. </t>
  </si>
  <si>
    <t>С даты подписания-31.12.23г.</t>
  </si>
  <si>
    <t>ФЗ -146 от 31.07.98 г. (налоговый кодекс) трансп.н-г</t>
  </si>
  <si>
    <t xml:space="preserve">1.01.01.99г.- не ограничен, 2.с даты опубликования - не ограничен </t>
  </si>
  <si>
    <t xml:space="preserve">1. Устав МКУ "УУСЗ", утв. постановлением администрации МО Крымский район №1396 от 08.08.17г. </t>
  </si>
  <si>
    <t>08.08.17 г.-не ограничен</t>
  </si>
  <si>
    <t>5140000590</t>
  </si>
  <si>
    <t>1.Положение об оплате труда работников муниципальных учреждений МО Крымский район, утв.постановлением администр. МО Крымский район от 22.06.18 г.№946,2.Устав МКУ "УУСЗ"(с учетом изменений от 12.03.19 г.),3. Приказ МКУ "УУСЗ" от 27.11.19 г.№92 "Об утверждении положения об оплате труда работников"</t>
  </si>
  <si>
    <t>1.01.06.18 г.-не ограничен, 2.12.03.19 г.- не ограничен, 3.даты подписания - не ограничен</t>
  </si>
  <si>
    <t>1.НК РФ часть 1,2.Федеральный закон № 167-ФЗ от 15.12.2001 г., 3.Федеральный закон № 27-ФЗ от 01.04.1996 г., 4.Федеральный закон № 165-ФЗ от 16.07.1999 г. 5. "ЕНС". изменения внесены Федеральным законом от 14.07.2022 №263-ФЗ</t>
  </si>
  <si>
    <t xml:space="preserve">1. 01.01.99 г. - не ограничен, 2.от 17.12.01 г.- не ограничен, 3.01.01.97 г.-не ограничен, 4.19.07.99 г.-не ограгичен 5. с 1.01.23г. не ограничен </t>
  </si>
  <si>
    <t>ст. 93 ч. 1 п. 4 №44-ФЗ от 05.04.2013г</t>
  </si>
  <si>
    <t>ФЗ -146 от 31.07.98г. (налоговый кодекс)</t>
  </si>
  <si>
    <t xml:space="preserve">1.ФЗ -146 от 31.07.98г. (налоговый кодекс), 2.ФЗ -7 "Об охране окружающей среды" от 10.01.02г. </t>
  </si>
  <si>
    <t>1.Устав МКУ ЦБ органов местного самоуправления, утв. пост адм МО Крымский р-н от 07.12.17 г.№2126 2. Решение совета №485 от 18.12.19г. (о бюджете на 2020-22гг)</t>
  </si>
  <si>
    <t>1.07.12.17 г.- не ограничен; 2. 01.01.2020 г.-31.12.2022 г.</t>
  </si>
  <si>
    <t>5140200590</t>
  </si>
  <si>
    <t>1.Положение об оплате труда работников муниципальных учреждений МО Крымский район, утв.постановлением адм. МО Крымский район от 22.06.18 г.№946, 2.Приказ №37 от 29.12.18 г.(с учетом изм от 30.04.19 г.)</t>
  </si>
  <si>
    <t>1.01.06.2018 г.- не ограничен, 2.01.01.19г.-не ограничен</t>
  </si>
  <si>
    <t>1.Распоряжение руководителя (команд.расходы), 2.Указ  Президента РФ №1110 от 30.05.94 г. (с учетом изменеий) 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</si>
  <si>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1.НК РФ часть 1, 2.Федеральный закон № 167-ФЗ от 15.12.01 г., 3.Федеральный закон № 27-ФЗ от 01.04.1996 г., 4.Федеральный закон № 165-ФЗ от 16.07.1999 г. 5."ЕНС". изменения внесены Федеральным законом от 14.07.2022 №263-ФЗ</t>
  </si>
  <si>
    <t>1.Устав МКУ ЦБ, утв.пост.адм.МО Крымский р-н №2125 от 07.12.17 г., 2. Мун.прогр. "Управление муниципальными финансами МО Крымский район", утв.пост.№2155 от 12.12.17 г.</t>
  </si>
  <si>
    <t>1.13.12.17г.- не ограничен; 2. 01.01.18 г.-31.12.20 г.</t>
  </si>
  <si>
    <t>5140300590</t>
  </si>
  <si>
    <t>1.Положение об оплате труда работников муниципальных учреждений МО Крымский район, утв.постановлением адм. МО Крымский район от 22.06.18г.№946, 2.Положение об оплате труда - приложение к коллект.договору №28-18 от 28.03.18г., 3.Приказ №74-од от 01.07.19г. "Об утверждении штатного расписания"</t>
  </si>
  <si>
    <t>1.01.06.18г.- не ограничен; 2.28.03.18г.- не ограничен; 3. 01.07.19г.-не ограничен</t>
  </si>
  <si>
    <t>1.Распоряжение руководителя (команд.расходы),   2.Указ  Президента РФ №1110 от 30.05.94 г. (с учетом изменеий) 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</si>
  <si>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1.НК РФ часть 1,2.Федеральный закон № 167-ФЗ от 15.12.01г., 3.Федеральный закон № 27-ФЗ от 01.04.96г., 4.Федеральный закон № 165-ФЗ от 16.07.99г. 5."ЕНС". изменения внесены Федеральным законом от 14.07.2022 №263-ФЗ</t>
  </si>
  <si>
    <t>закл.дог. Согл. ст. 93 ч. 1 п. 4 №44-ФЗ от 05.04.2013г. (дог.раз.характера); контракты (электронный аукцион)</t>
  </si>
  <si>
    <t>ст. 93 ч. 1 п. 4 №44-ФЗ от 05.04.2013г.</t>
  </si>
  <si>
    <t>с 01.01.21г.-31.12.2021г</t>
  </si>
  <si>
    <t xml:space="preserve">д/с к №1806 от 13.07.22г.;  №214 от 15.01.22г.; №214 от 10.01.21г.; №214 от 08.11.21г.; №1806 от 12.01.22г. </t>
  </si>
  <si>
    <t>с 01.01.22г.-31.12.2022г</t>
  </si>
  <si>
    <t>01.01.99г.- не ограничег</t>
  </si>
  <si>
    <t>1.01.01.99г.- не ограничен, 2.с даты опубликования - не ограничен, 3.с даты вступления в силу по 31.12.21г</t>
  </si>
  <si>
    <t>1. 131-ФЗ от 06.10.03 г., 2.Устав МО Крымский район №175 от 26.04.2017г. 3.Устав МКУ "Управление строительного контроля", утвержденный пост.администрации МО Крымский район №838 от 05.05.14 г.</t>
  </si>
  <si>
    <t xml:space="preserve">1.ст.17 п.1 п/п3,  2.Гл.2 ст.10п.1 п/п3 </t>
  </si>
  <si>
    <t>1. 01.01.09 г.- не ограничен, 2.24.05.17 г.-не ограничен, 2. 05.05.14 г.-не ограничен</t>
  </si>
  <si>
    <t>0630100590</t>
  </si>
  <si>
    <t>1.Положение об оплате труда работников муниципальных учреждений МО Крымский район, утв.постановлением адм. МО Крымский район от 22.06.18 г.№946, 2.Приказ №72-16от 22.12.16 г. "Об утверждении положения об оплате труда" 3.Приказ №46 п от 15.08.19 г.</t>
  </si>
  <si>
    <t>1.01.06.18-не ограничен, 2.01.01.17 г.- не ограничен, 3.16.08.19 г.- не ограничен</t>
  </si>
  <si>
    <t>1.НК РФ часть 1, 2.Федеральный закон № 167-ФЗ от 15.12.2001 г., 3.Федеральный закон № 27-ФЗ от 01.04.1996 г., 4.Федеральный закон № 165-ФЗ от 16.07.1999 г. 5."ЕНС". изменения внесены Федеральным законом от 14.07.2022 №263-ФЗ</t>
  </si>
  <si>
    <t>1.Распоряжение руководителя (команд.расходы),  2.Указ  Президента РФ №1110 от 30.05.94г. (с учетом изменеий) 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</si>
  <si>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 xml:space="preserve">дог.13/02 от 13.02.23г., дог. 27/03 от 27.03.23г.
</t>
  </si>
  <si>
    <t>с даты заключения-31.12.23г.</t>
  </si>
  <si>
    <t>закл.дог.согл. ст. 93 ч. 1 п. 1 №44-ФЗ от 05.04.2013г. (связь); ст. 93 ч. 1 п. 4 №44-ФЗ от 05.04.2013г. (дог.раз.характера)</t>
  </si>
  <si>
    <t>ст. 93 ч. 1 п. 1 №44-ФЗ от 05.04.13г.; ст. 93 ч. 1 п. 4 №44-ФЗ от 05.04.13г.</t>
  </si>
  <si>
    <t>закл.дог.согл. ст. 93 ч. 1 п. 1 №44-ФЗ от 05.04.2013г</t>
  </si>
  <si>
    <t>п. 4, п.8, п. 29</t>
  </si>
  <si>
    <t>01.01.99г.- не ограничен</t>
  </si>
  <si>
    <t>1.ФЗ -146 от 31.07.98г. (налоговый кодекс), 2.ФЗ -7 "Об охране окружающей среды" от 10.01.02г., 3.Положение о членстве в Союзе "Саморегулируемая организация "Краснодарские строители", утвержд.общим собр.членов прот.№19 от 25.04.17г., 4.Положение о членстве в Союзе "Саморегулируемая организация "Краснодарские проектировщики", в том числе о размере, порядке расчета, а также порядке уплаты вступительного взноса, членских взносов", утв.реш.общего собр.членов Союза от 29.03.18 г.</t>
  </si>
  <si>
    <t>1.01.01.99г.- не ограничен, 2.с даты опубликования - не ограничен, 3.с даты утверждения - до внесения изменений, 4.с даты утверждения - до внесения изменений, 5.в течение фин.года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</si>
  <si>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</si>
  <si>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1.№131-ФЗ от 06.10.03 г. 2.Устав МО Крымский район №175 от 26.04.2017г. 3.МП «Информационное общество Крымского района», утв.пост.администр.МО № 857 от 19.09.16г.</t>
  </si>
  <si>
    <t>1.ст.17 п.1 п/п.7, 2.гл. 2 ст.10 п.1 п/п. 8</t>
  </si>
  <si>
    <t>1. с 01.01.09 г. -не ограничен, 2.с 24.05.2017г.-не ограничен, 3.01.01.17 г.-31.12.19 г.</t>
  </si>
  <si>
    <t>2310010260</t>
  </si>
  <si>
    <t>1.№131-ФЗ от 06.10.03 г. 2.Устав МО Крымский район №175 от 26.04.2017г. 3.МП «Информационное обеспечение и информирование граждан о деятельности органов местного самоуправления МО Крымский район», утв.пост.администр.МО № 1843 от 19.09.19г., 4. Пост. № 2029 от 27.07.2022</t>
  </si>
  <si>
    <t>1. с 01.01.09г. -не ограничен, 2.с 24.05.17г.-не ограничен, 3.01.01.20г.-31.12.24г. 4. с 01.01.2025-31.12.2029гг.</t>
  </si>
  <si>
    <t>2210010260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</si>
  <si>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МО, преобразования МО</t>
  </si>
  <si>
    <t xml:space="preserve">1. 131-ФЗ от 06.10.03 г., 2.Устав МО Крымский район №175 от 26.04.2017г.
</t>
  </si>
  <si>
    <t>1.ст.17 п.1 п/п 5, 2.гл.2 ст.10п.1  п/п6, гл.4 ст.12</t>
  </si>
  <si>
    <t>1.01.01.09 г.-бессрочно, 2.24.05.17 г.-не ограничен</t>
  </si>
  <si>
    <t>9910010320</t>
  </si>
  <si>
    <t>Решение территориальной избирательной комиссии Крымская от 18.06.18 г. №82/1123</t>
  </si>
  <si>
    <t>18.06.20г.-31.12.20 г.</t>
  </si>
  <si>
    <t>200</t>
  </si>
  <si>
    <t>Резервный фонд местных администраций</t>
  </si>
  <si>
    <t>1.131-ФЗ от 06.10.03г., 2.Устав МО Крымский район №175 от 26.04.17г., 3.Об утверждении Положения о  порядке использования бюджетных ассигнований резервного фонда адм. МО Крымский район пост. № 717 от 22.05.17г.</t>
  </si>
  <si>
    <t>1.ст.15 п.36, 2.гл.5 ст.42.п.11</t>
  </si>
  <si>
    <t>1.01.01.09 г.- не ограничен, 2.24.05.2017-не ограничен, 3.срок не ограничен</t>
  </si>
  <si>
    <t>5130020590</t>
  </si>
  <si>
    <t>870</t>
  </si>
  <si>
    <t>Решение сессии № 393 от 20.12.23г.</t>
  </si>
  <si>
    <t>321</t>
  </si>
  <si>
    <t>Обслуживание муниципального долга</t>
  </si>
  <si>
    <t>1.131-ФЗ от 06.10.03г., 2.Устав МО Крымский район №175 от 26.04.2017г.,  3.МП"Управление муниципальными финансами МО Крымский район", утв.пост.№2096 от 15.10.19г., изм.№2984 от 05.10.21г., изм. №101 от 20.01.2022г., МП №3054 от 20.10.2022г.</t>
  </si>
  <si>
    <t xml:space="preserve">1.ст.64, 2.гл.8 ст.78 </t>
  </si>
  <si>
    <t>1. 01.01.09г. -не ограничен, 2.24.05.17г. -не ограничен, 3. 01.01.21г.-31.12.25г.</t>
  </si>
  <si>
    <t xml:space="preserve">1.МП"Управление муниципальными финансами МО Крымский район", утв.пост.№2096 от 15.10.19г., изм.№2984 от 05.10.21г. </t>
  </si>
  <si>
    <t>МК№0818600004018000123-0061101-03 от 27.08.18г., №5 от 27.07.21г., №6 от 27.07.21г., №110 от 25.09.19г., №66 от 28.08.19г., №47 от 21.08.19г., №1 от 20.02.19г., МК№0818600004021000159 от 26.07.21г.</t>
  </si>
  <si>
    <t>1. 01.01.21г.-31.12.25г., 2.С даты заключения по дату исполнения обязат-в</t>
  </si>
  <si>
    <t>2800127880</t>
  </si>
  <si>
    <t>730</t>
  </si>
  <si>
    <t xml:space="preserve">
1,Постановление № 2096
от 15.10.2019г.                                   2. Решение сессии №393 от 20.12.2023г.</t>
  </si>
  <si>
    <t>9900027880</t>
  </si>
  <si>
    <t>Подпрограмма "Обеспечение жильем молодых семей"</t>
  </si>
  <si>
    <t>1.Устав МО Крымский район №175 от 26.04.17г., 2.МП "Комплексное и устойчивое развитие Крымского района в сфере строительства, архитектуры и дорожного хозяйства", утв. пост.№2276 от 15.11.19г.; 3. Пост. № 2158 от 29.07.2022</t>
  </si>
  <si>
    <t>1.гл.3, ст.11, п.8</t>
  </si>
  <si>
    <t>1.24.05.17 г.- не ограничен; 2. 01.01.17 г.-не ограничен, 3.01.01.20г. - 13.12.24г.</t>
  </si>
  <si>
    <t>Предоставление социальных выплат молодым семьям на улучшение жилищных условий</t>
  </si>
  <si>
    <t>1. пост.адм. №251 от 05.02.21г.                                       2. Решение сессии № 393 от 20.12.23г.</t>
  </si>
  <si>
    <t>МБ КЦ 03625000-1-2022-003 от 25.01.2022г.</t>
  </si>
  <si>
    <t>2021г.</t>
  </si>
  <si>
    <t>0610104970</t>
  </si>
  <si>
    <t>322</t>
  </si>
  <si>
    <r>
      <t xml:space="preserve">1.Реш.сес.№393 от 20.12.2023г.(софинансирование из КБ),                                     </t>
    </r>
    <r>
      <rPr>
        <sz val="11"/>
        <rFont val="Times New Roman"/>
        <family val="1"/>
        <charset val="204"/>
      </rPr>
      <t>2.пост.адм. №251 от 05.02.21г.</t>
    </r>
  </si>
  <si>
    <t>согл. 03625000-1-2023-002 от 20.01.23г.</t>
  </si>
  <si>
    <t>1.01.01.21г.-31.12.21г.,                             2.2025-2029гг.</t>
  </si>
  <si>
    <t>06101L4970</t>
  </si>
  <si>
    <t>Согл. 03625000-1-2022-003 от 25.01.2022г.</t>
  </si>
  <si>
    <t>1.01.01.21г.-31.12.21г., 2. 2025-2029гг.</t>
  </si>
  <si>
    <t>Осуществление мер по противодействию коррупции в границах муниципального района</t>
  </si>
  <si>
    <t>1.№131-ФЗ от 06.10.03г., 2.Устав МО Крымский район №175 от 26.04.17г., 3.МП"Противодействие коррупции в МО Крымский район" пост."2274 от 24.12.18г., 4. Пост. №2074 от 27.07.2022</t>
  </si>
  <si>
    <t>1.ст.15 п.1 п/п 33, 2.гл.2 ст.8.п.1 п/п36</t>
  </si>
  <si>
    <t>1.01.01.09г.-не ограничен, 2.24.05.17г.-не ограничен, 3.01.01.20г.-31.12.24г. 4. с 01.01.2025-31.12.2029гг.</t>
  </si>
  <si>
    <t>14</t>
  </si>
  <si>
    <t>2610109160</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</si>
  <si>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</si>
  <si>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1.№131-ФЗ от 06.10.03г. 2. Устав МО Крымский район №175 от 26.04.17г.; 3.Пост.адм.МО Крымский район от 15.11.19г. №2275 "Об утверждении МП Крымского района "Обеспечение безопасности населения", изм.№3085 от 31.12.20г., 4. Устав МКУ УЧСГЗ МО Крымский район, утв.пост.адм.№2333 от 16.08.11 г.</t>
  </si>
  <si>
    <t>1.ст.15 п.1 п/п 21, 2. ст.8 п.3 п/п5</t>
  </si>
  <si>
    <t>1.01.01.09г.- не ограничен, 2.24.05.17г.-не ограничен; 3. 01.01.20г.-31.12.24г.; 4.16.08.11г.-не ограничен</t>
  </si>
  <si>
    <t>1.Пост.адм.МО Крымский район от 15.11.19г. №2275 "Об утверждении МП Крымского района "Обеспечение безопасности населения" на 2020-2024 года, 02.08.19г.,МК0318300400519000030 от 23.09.19г.</t>
  </si>
  <si>
    <t>1.01.01.20-31.12.24г., 2.с даты заключения - 31.12.20г.</t>
  </si>
  <si>
    <t>0960110720</t>
  </si>
  <si>
    <t>1.Пост.адм.МО Крымский район от 15.11.19 г. №2275 "Об утверждении мун.пр.Крымского района "Обеспечение безопасности населения" на 2020-2024 года, изм. №3085 от 31.12.20г.,2. Пост.№ 2157 от
29.07.2022</t>
  </si>
  <si>
    <t xml:space="preserve">мк 0818600004023000083 от 20.11.23г., мк 0818600004023000087 от 28.11.23г., мк. 0818600004023000088 от 28.11.2023г.,дог.15-02 от 15.02.23г, дог. 1026 от 24.05.23г., дог. 1608 от 01.09.23г, дог. 906ЭК-ДХ от 10.10.23г. </t>
  </si>
  <si>
    <t>1.01.01.20-31.12.24гг., 2. с 2025 по 2029 гг.                                    3. с даты заключения - 31.12.23г.</t>
  </si>
  <si>
    <t>1.Пост.адм.МО Крымский район от 15.11.19г. №2275 "Об утверждении МП Крымского района "Обеспечение безопасности населения" на 2020-2024 2. Пост.2157 от 29.07.2022г.</t>
  </si>
  <si>
    <t>мк. 0318300400523000004 от 26.06.23г, . , дог. 022-РЧ/23 от 07.11.23г.</t>
  </si>
  <si>
    <t>1.01.01.20 г.-31.12.24 г.;                    2. с даты заключения по 31.12.23г.</t>
  </si>
  <si>
    <t>0930010080</t>
  </si>
  <si>
    <t>1.Пост.адм.МО Крымский район от 15.11.19 г. №2275 "Об утверждении мун.пр.Крымского района "Обеспечение безопасности населения" на 2020-2024 года, 2. Пост.2157 от 29.07.2022г.</t>
  </si>
  <si>
    <t>дог.09-05-0800-027/23 от 07.11.23г.</t>
  </si>
  <si>
    <t>1.01.01.20г.-31.12.24г.; 2.с 2025 по 2029гг.                3.с даты заключения по 31.12.23г.</t>
  </si>
  <si>
    <t xml:space="preserve">Пост.адм.МО Крымский район от 15.11.19г. №2275 "Об утверждении МП Крымского района "Обеспечение безопасности населения" на 2020-2024 года; </t>
  </si>
  <si>
    <t>1.Пост.адм.МО Крымский район от 15.11.19 г. №2275 "Об утверждении мун.пр.Крымского района "Обеспечение безопасности населения" на 2020-2024 года, изм. №3085 от 31.12.20г., 2.Устав МКУ УЧСГЗ МО Крымский район, 2. Пост.2157 от 29.07.2022г..</t>
  </si>
  <si>
    <t>0960100590</t>
  </si>
  <si>
    <t>1.Пост. главы МО Крымский район от 22.06.2018г.№946,2.Приказ №40 -од от 02.07.18 г.3.Приказ 44-од от 01.07.19 г.</t>
  </si>
  <si>
    <t>1.Приказы руководителя, 2.Указ  Президента РФ №1110 от 30.05.94 г. (с учетом изменеий)</t>
  </si>
  <si>
    <t>Исполн.листа А32-4478618 от 07.10.19г.</t>
  </si>
  <si>
    <t xml:space="preserve">1.ФЗ -146 от 31.07.98г. (налоговый кодекс), 2.ФЗ -7 "Об охране окружающей среды" от 10.01.02г., 3.Реш.№9325 от 28.09.17г. </t>
  </si>
  <si>
    <t>1.Пост.адм.МО Крымский район от 15.11.19г. №2275 "Об утверждении мун.пр.Крымского района "Обеспечение безопасности населения" на 2020-2024г., изм. №3085 от 31.12.20г.; 2.Устав МКУ УЧСГЗ МО Крымский район, у2. Пост.2157 от 29.07.2022г.</t>
  </si>
  <si>
    <t>1.01.01.20г.-31.12.24г.; 2.16.08.11г.-не ограничен</t>
  </si>
  <si>
    <t>1.Пост. главы МО Крымский район от 22.06.2018г.№946, 2.Приказ №40 -од от 02.07.18г.3.Приказ 44-од от 01.07.19г.</t>
  </si>
  <si>
    <t>1.01.06.18 г.- не ограничен; 2.02.07.18г.-не ограничен; 3.01.07.21г.- не ограничен</t>
  </si>
  <si>
    <t>1.НК РФ часть 1, 2.Федеральный закон № 167-ФЗ от 15.12.01г., 3.Федеральный закон № 27-ФЗ от 01.04.96г., 4.Федеральный закон № 165-ФЗ от 16.07.99г. 5."ЕНС". изменения внесены Федеральным законом от 14.07.2022 №263-ФЗ</t>
  </si>
  <si>
    <t>1.Приказы руководителя, 2.Указ  Президента РФ №1110 от 30.05.94г. (с учетом изменеий) 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</si>
  <si>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дог.согл. ст. 93 ч. 1 п. 1 №44-ФЗ от 05.04.2013г. (связь); ст. 93 ч. 1 п. 4 №44-ФЗ от 05.04.2013г. (дог.раз.характера); контракты (электронный аукцион)</t>
  </si>
  <si>
    <t xml:space="preserve">дог 48/07 от 12.01.22г, дог.48/07 от 08.02.23г, дог.57 от 15.12.22г, дог 57 от 30.01.23г, дог.23 от 30.01.23г, дог. 58 от 09.01.23г, дог.9-02 дог.09.02.23г,  дог. 15 от 15.02.23г, дог.16-08 дог.16.08.23г, дог.2308 от 30.08.23г, дог.23-08 от 31.01.23г дог.4 от 11.04.23г, </t>
  </si>
  <si>
    <t>дог.согл. ст. 93 ч. 1 п. 1 №44-ФЗ от 05.04.2013г.</t>
  </si>
  <si>
    <t>дог.1929 от 12.01.22г., дог.1929 от 30.01.23г.</t>
  </si>
  <si>
    <t>1.ФЗ -146 от 31.07.98г. (налоговый кодекс), 2.ФЗ -7 "Об охране окружающей среды" от 10.01.02г.,</t>
  </si>
  <si>
    <t>1.01.01.99г.- не ограничен, 2.с даты опубликования - не ограничен</t>
  </si>
  <si>
    <r>
      <t>1.</t>
    </r>
    <r>
      <rPr>
        <b/>
        <sz val="11"/>
        <rFont val="Times New Roman"/>
        <family val="1"/>
        <charset val="204"/>
      </rPr>
      <t>Пост.адм.МО Крымский район от 15.11.19г. №2275 "Об утверждении мун.пр.Крымского района "Обеспечение безопасности населения" на 2020-2024г., 2. Пост.2157 от 29.07.2022г.</t>
    </r>
  </si>
  <si>
    <r>
      <rPr>
        <b/>
        <sz val="11"/>
        <rFont val="Times New Roman"/>
        <family val="1"/>
        <charset val="204"/>
      </rPr>
      <t>1.с 01.01.20г.-31.12.24г.</t>
    </r>
    <r>
      <rPr>
        <sz val="11"/>
        <rFont val="Times New Roman"/>
        <family val="1"/>
        <charset val="204"/>
      </rPr>
      <t xml:space="preserve">    2.с даты заключения по 31.12.23г.</t>
    </r>
  </si>
  <si>
    <t>0910310550</t>
  </si>
  <si>
    <t>0910310551</t>
  </si>
  <si>
    <t xml:space="preserve"> Создание, содержание и организация деятельности аварийно-спасательных служб и (или) аварийно-спасательных формирований на территории поселения;</t>
  </si>
  <si>
    <t>1.№131-ФЗ от 06.10.06г., 2.№3039-КЗ от 05.11.04г., 3.Устав МО Крымский район №175 от 26.04.17г., 4.Пост.адм.МО Крымский район от 15.11.19г. №2275 "Об утверждении мун.пр.Крымского района "Обеспечение безопасности населения" на 2020-2024г., изм. №3085 от 31.12.20г.</t>
  </si>
  <si>
    <t>1.ст15, п.1п/п.21; 3. ст.8 п.3 п/п6</t>
  </si>
  <si>
    <t xml:space="preserve">1.01.01.09 г.- не ограничен; 2.01.01.15 г.- не ограничен; 3. 24.05.17 г.- не ограничен, 4.с 01.01.20г.-31.12.24г. </t>
  </si>
  <si>
    <t>0910200590</t>
  </si>
  <si>
    <t>1.Пост. главы МО Крымский район от 22.06.2018г.№946,оплата труда, 2. Приказ №40-од от 02.07.18 г." Об утверждении положения об оплате труда",3.Приказ 44-од от 01.07.19 г.</t>
  </si>
  <si>
    <t>1.01.06.18 г.- не ограничен; 2.02.07.18 г.-не ограничен;3. 01.07.20г.-не ограничена</t>
  </si>
  <si>
    <t>Приказы руководителя</t>
  </si>
  <si>
    <t>2020г.</t>
  </si>
  <si>
    <t>Услуги связи, ком.услуги,транспортные услуги, услуги по содержанию имущества, прочие услуги, увеличение стоимости материальных запасов, увеличение стоимости ОС  Д.1186 от 29.12.18г., Д.9 от 29.12.18г.,Д.Т-1652 от 21.01.19г.,Д.48/07-Б2 от 29.12.18г.,Д.116 от 29.12.18г., Д.48/07 от 29.12.18г., Д.57 от 29.12.18г.,Д.7-02 от08.02.19г., Д.31/01-31.01.19г,Д.19-03 от 23.01.19г.,Д.3-26 от 26.03.19г.,Д08-04от 08.04.19г.,Д.24-04 от 24.04.19г.,Д.291от15.11.19г.,МК0318300400519000011 от 17.06.19г.,Д.2-12 от 06.12.19г.и пр.</t>
  </si>
  <si>
    <t>с даты заключения по 31.12.20г.</t>
  </si>
  <si>
    <t xml:space="preserve">1.ФЗ -146 от 31.07.98г. (налоговый кодекс), 2.ФЗ -7 "Об охране окружающей среды" от 10.01.02г., 3.Спр.033РО1170018794 от 20.04.17г., треб.№17 от 12.05.17г., акт сверки от 01.09.17г.  </t>
  </si>
  <si>
    <t>1.№131-ФЗ от 06.10.06 г., 2.№3039-КЗ от 05.11.04 г., 3.Устав МО Крымский район №175 от 26.04.2017г., 4.Пост.адм.МО Крымский район от 15.11.19г. №2275 "Об утверждении мун.пр.Крымского района "Обеспечение безопасности населения" на 2020-2024г.,  2. Пост.2157 от 29.07.2022г.</t>
  </si>
  <si>
    <t>1.01.01.09г.- не ограничен; 2.01.01.15г.- не ограничен; 3. 24.05.17г.- не ограничен, 4.с 01.01.20г.-31.12.24г.                  5.с 2025 по 2029гг.</t>
  </si>
  <si>
    <t>1.Пост. главы МО Крымский район от 22.06.2018г.№946,оплата труда, 2. Приказ №40-од от 02.07.18 г." Об утверждении положения об оплате труда", 3.Приказ 44-од от 01.07.19 г.</t>
  </si>
  <si>
    <t>1.01.06.18г.- не ограничен; 2.02.07.18г.-не ограничен; 3.01.07.19г.-не ограничена</t>
  </si>
  <si>
    <t>1.Постановление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 2.Приказы руководителя</t>
  </si>
  <si>
    <t xml:space="preserve">1НК РФ часть 1, 2.Федеральный закон № 167-ФЗ от 15.12.2001г., 3.Федеральный закон № 27-ФЗ от 01.04.1996г., 4.Федеральный закон № 165-ФЗ от 16.07.1999г.  5. "ЕНС". изменения внесены Федеральным законом от 14.07.2022 №263-ФЗФедеральным </t>
  </si>
  <si>
    <t xml:space="preserve"> ст. 93 ч. 1 п. 1 №44-ФЗ от 05.04.2013г. (связь); ст. 93 ч. 1 п. 4 №44-ФЗ от 05.04.2013г. (дог.раз.характера); контракты (электронный аукцион)</t>
  </si>
  <si>
    <t xml:space="preserve"> ст. 93 ч. 1 п. 1 №44-ФЗ от 05.04.2013г.; ст. 93 ч. 1 п. 4 №44-ФЗ от 05.04.2013г. </t>
  </si>
  <si>
    <t xml:space="preserve"> ст. 93 ч. 1 п. 1 №44-ФЗ от 05.04.2013г.</t>
  </si>
  <si>
    <t>ст. 93 ч. 1 п. 8 №44-ФЗ от 05.04.13г., ст. 93 ч. 1 п. 29 №44-ФЗ от 05.04.13г.</t>
  </si>
  <si>
    <t xml:space="preserve">1.ФЗ -146 от 31.07.98г. (налоговый кодекс), 2.ФЗ -7 "Об охране окружающей среды" от 10.01.02г., </t>
  </si>
  <si>
    <t>1.01.01.99 г.- не ограничен, 2. с даты опубликования - не ограничен</t>
  </si>
  <si>
    <t>Реализация мероприятий в области АПК "Безопасный город"</t>
  </si>
  <si>
    <t>09601S0250</t>
  </si>
  <si>
    <t>1.№131-ФЗ от 06.10.06 г., 2.№3039-КЗ от 05.11.04 г., 3.Устав МО Крымский район №175 от 26.04.2017г.</t>
  </si>
  <si>
    <t>1.01.01.09 г.- не ограничен; 2.01.01.15 г.- не ограничен</t>
  </si>
  <si>
    <t>0910211440</t>
  </si>
  <si>
    <t>1.№131-ФЗ от 06.10.06 г., 2.№3039-КЗ от 05.11.04 г., 3.Устав МО Крымский район №175 от 26.04.2017г., 4.Пост.адм.МО Крымский район от 15.11.19г. №2275 "Об утверждении мун.пр.Крымского района "Обеспечение безопасности населения" на 2020-2024г., 2. Пост.2157 от 29.07.2022г.</t>
  </si>
  <si>
    <t>1.01.01.09г. - не ограничен; 2.01.01.15г. - не ограничен; 3.26.04.17г. - не ограничен, 4.01.01.20г. - 31.12.24г.,                   5. с 2025 по 2029гг.</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</si>
  <si>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(3.03.00.0.000)</t>
  </si>
  <si>
    <t>по перечню, предусмотренному Федеральным законом от 06.10.2003 № 131-ФЗ "Об общих принципах организации местного самоуправления в Российской Федерации"</t>
  </si>
  <si>
    <t>Осуществление расходов на дополнительные меры социальной поддержки и социальной помощи для отдельных категорий граждан</t>
  </si>
  <si>
    <t>1.131-ФЗ от 06.10.03 г., 2.Устав муниципального образования Крымский район, утв.решением сессии №175 от 26.04.2017 г.</t>
  </si>
  <si>
    <t xml:space="preserve">1. Ст.20 п 5, 2.гл. 3 ст.11 п.8 </t>
  </si>
  <si>
    <t xml:space="preserve">1.01.01.09 г.-не ограничен, 2. 24.05.2017 г.-не ограничен </t>
  </si>
  <si>
    <t>МП МО Крымский район "Социальная поддержка граждан", утв. пост.№2062 от 06.12.18г., изм.№2556 от 02.09.21г.                                            2. Решение Совета МО № 393 от 20.12.23г,</t>
  </si>
  <si>
    <t>1.01.01.20г.-31.12.24 г.             2. с 2025 по 2029гг.</t>
  </si>
  <si>
    <t>00</t>
  </si>
  <si>
    <t xml:space="preserve">1. Решение Совета МО  Крымский район №186 от 31.05.17г., 2.Распоряжения администрации МО Крымский район </t>
  </si>
  <si>
    <t>1.01.01.17г.- не ограничен, 2. в течение 2022г.</t>
  </si>
  <si>
    <t>0310040010</t>
  </si>
  <si>
    <t>313</t>
  </si>
  <si>
    <t xml:space="preserve">1. Решение Совета МО Крымский район № 393 от 20.12.23г.                                2.Распоряжения администрации МО Крымский район </t>
  </si>
  <si>
    <t>1.01.01.20г.-31.12.24 г.             2. в течении финансового года</t>
  </si>
  <si>
    <t>9900040010</t>
  </si>
  <si>
    <t>1. Требов. СП 484.1311500.3030                              2. Пост. №4518 от 18.12.23г.                                              3.Решение Сосета МО № 393 от 20.12.2023г.</t>
  </si>
  <si>
    <t>в течении финансового года</t>
  </si>
  <si>
    <t>0920111270</t>
  </si>
  <si>
    <t>Расходные обязательства, возникшие  в  результате делегированных полномочий за счет субвенций, переданных муниципальному районув рамках межбюджетных отношений на цели, утвержденные в краевом бюджете и межбюджетных трансферов, передаваемых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</si>
  <si>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за счет субвенций, предоставленных  из федерального бюджета </t>
  </si>
  <si>
    <t xml:space="preserve">Составление (изменение, дополнение) списков кандидатов в присяжные заседатели федеральных судов общей юрисдикции в Российской Федерации </t>
  </si>
  <si>
    <t>1. БК РФ, 2.№113-ФЗ от 20.08.04г. 2.Решение Совета МО №393 от 20.12.23г.</t>
  </si>
  <si>
    <t>1.01.01.2000г. - не ограничено, 2.в течении финансового года</t>
  </si>
  <si>
    <t>5140051200</t>
  </si>
  <si>
    <t>Обеспечение жилыми помешениями и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</si>
  <si>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1.№805-КЗ от 15.12.04г., 2.Устав МО Крымский район №175 от 26.04.17г., 3. МП МО Крымский район "Дети Крымского района" на 2020-2024 годы пост.№2206 от 19.12.18г., 4.Пост. № 2156 от 29.07.2022</t>
  </si>
  <si>
    <t>1.ст.1, 2.гл.3, ст.11, п.1,2</t>
  </si>
  <si>
    <t>1.с даты обнародования - не ограничен, 2.с 24.05.2017г. - не ограничен; 3.с 01.01.20г. по 31.12.24г.                4. с 01.01.2025 по 31.12.2029гг.</t>
  </si>
  <si>
    <t>Согл. 67 от 25.01.2023г., доп. согл. 1 от 29.03.23г, доп. согл. 2 от 27.07.23г.</t>
  </si>
  <si>
    <t xml:space="preserve"> ст. 93 ч. 1 п. 1 №44-ФЗ от 05.04.2013г. </t>
  </si>
  <si>
    <t>01.01.21г.- 31.12.23г.</t>
  </si>
  <si>
    <t>05101С0820</t>
  </si>
  <si>
    <t>п.1.1</t>
  </si>
  <si>
    <t>1. 01.01.21 г.-31.12.23г.;       2.с даты заключения по 31.12.23г.</t>
  </si>
  <si>
    <t>412</t>
  </si>
  <si>
    <t>Переселение граждан из аварийного жилищного фонда в рамках федерального проекта "Обеспечение устойчивого сокращения непригодного для проживания жилищного фонда"</t>
  </si>
  <si>
    <r>
      <t xml:space="preserve">Адресная программа КК "Переселение граждан из аварийного жилищного фонда на 2019-2025 годы", утв.пост.главы адм. (губернатора) КК от 10.04.19г. №186, 2.Согл.№ПО-11 от 13.10.21г.,       </t>
    </r>
    <r>
      <rPr>
        <b/>
        <sz val="11"/>
        <rFont val="Times New Roman"/>
        <family val="1"/>
        <charset val="204"/>
      </rPr>
      <t>3. МП "Комплексн.и устойчивое развитие Крымского района в сфере строительства, иархитектуры и дорожного хозяйства", утв.пост.№2276 от 15.11.19г., изм.№3620 от 07.12.21г.</t>
    </r>
  </si>
  <si>
    <r>
      <t xml:space="preserve">1.2019-2025гг, 2.13.10.21г.- до исполн. обязательств, </t>
    </r>
    <r>
      <rPr>
        <b/>
        <sz val="11"/>
        <rFont val="Times New Roman"/>
        <family val="1"/>
        <charset val="204"/>
      </rPr>
      <t>3.01.01.20г.-31.12.24г.</t>
    </r>
  </si>
  <si>
    <t>061F367483</t>
  </si>
  <si>
    <t>061F367484</t>
  </si>
  <si>
    <t>Осуществление гос.полномочий по подготовке и проведению Всероссийской сельскохозяйственной переписи</t>
  </si>
  <si>
    <r>
      <t xml:space="preserve">1.Пост.правительств от 07.12.19г. №1608; </t>
    </r>
    <r>
      <rPr>
        <b/>
        <sz val="11"/>
        <rFont val="Times New Roman"/>
        <family val="1"/>
        <charset val="204"/>
      </rPr>
      <t xml:space="preserve">2.Пост. Адм.МО крымский район №2565 от 02.09.21г.; </t>
    </r>
    <r>
      <rPr>
        <sz val="11"/>
        <rFont val="Times New Roman"/>
        <family val="1"/>
        <charset val="204"/>
      </rPr>
      <t>3.Письмо депорт. внутр.полит.№34-06-39/21 от 11.01.21г.</t>
    </r>
  </si>
  <si>
    <t>договора с даты заключения-31.12.21г.</t>
  </si>
  <si>
    <t>9900054690</t>
  </si>
  <si>
    <t xml:space="preserve">за счет субвенций, предоставленных  из бюджета субъекта Росийской Федерации </t>
  </si>
  <si>
    <t>Поддержка сельскохозяйственного производства в Краснодарском крае</t>
  </si>
  <si>
    <t>1. 976- КЗ от 26.12.05г., 2.Устав МО Крымский район № 175 от 26.04.17г.;      3.Согл. о предоставл. субвенций (содерж. Ед. по с/хоз.) №19/22 от 26.01.2022г.                                          4. Соглашение № 28/23 от 19.01.2023г.</t>
  </si>
  <si>
    <t>2.гл.3, ст.11, п.1,2,8</t>
  </si>
  <si>
    <t>1.со дня офиц.опубликов. -не огранич, 2.с 24.05.17г.- не ограничен; 3.с 01.01.2023 по 31.12.2023гг.</t>
  </si>
  <si>
    <t>5120060910</t>
  </si>
  <si>
    <t>1.Постановление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 2.Распоряжение руководителя</t>
  </si>
  <si>
    <t>1НК РФ часть 1, 2.Федеральный закон № 167-ФЗ от 15.12.01г., 3.Федеральный закон № 27-ФЗ от 01.04.96г., 4.Федеральный закон № 165-ФЗ от 16.07.99г.  5. "ЕНС". изменения внесены Федеральным законом от 14.07.2022 №263-ФЗ</t>
  </si>
  <si>
    <t>1. 01.01.99г. - не ограничен, 2.17.12.01г.- не ограничен, 3.01.01.97г.-не ограничен, 4.19.07.99г.-не ограгичен         5. с 1.01.23г. не ограничен</t>
  </si>
  <si>
    <t xml:space="preserve"> ст. 93 ч. 1 п. 4 №44-ФЗ от 05.04.2013г. </t>
  </si>
  <si>
    <t>С даты подписания- 31.12.23г.</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</si>
  <si>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</si>
  <si>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1. Закон КК №805-КЗ от 15.12.04 г., 2.Согл.№474 от 17.08.21г., 3.Пост.2646 от 08.09.21г. Согл.. № 1 от 22.03.2022г.</t>
  </si>
  <si>
    <t>1. с 01.01.2023-31.12.2023гг.</t>
  </si>
  <si>
    <t>0510160580</t>
  </si>
  <si>
    <t>Предупреждения и ликвидация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МО</t>
  </si>
  <si>
    <t xml:space="preserve">1.Закон КК от 8.11.2022г. № 4782-КЗ                                         2.Постановление Губернатора от 12.12.22г. №928 ;                                                                   2.МП Крымского района "Развитие сельского хозяйства и регулирование рынков сельскохозяйственной продукции" (2410161650)-мероприятия по отлову брод.животных, пост. №2245 от 28.07.21г.                       3. Пост. № 2072 от 27.07.2022 на 2025-2029гг.
</t>
  </si>
  <si>
    <t>1.С даты опубликования-не ограничен,       2. 01.01.22г. - 31.12.24г.</t>
  </si>
  <si>
    <r>
      <t>1.</t>
    </r>
    <r>
      <rPr>
        <b/>
        <sz val="11"/>
        <rFont val="Times New Roman"/>
        <family val="1"/>
        <charset val="204"/>
      </rPr>
      <t xml:space="preserve"> Согл.№23/22 от 27.01.2022г.                                           2. С 2023 без соглашения Закон КК № 4782 от 8.11.23г.</t>
    </r>
  </si>
  <si>
    <t>1.с даты подписания и 31.12.22г.;                 2.в течении финансового года</t>
  </si>
  <si>
    <t>2410161650</t>
  </si>
  <si>
    <t>создание и организация деятельности комиссий по делам несовершеннолетних и защите их прав</t>
  </si>
  <si>
    <t>1.№1132-КЗ от 13.11.06 г., 2.Устав МО Крымский район №175 от 26.04.2017г.,  3.согл.на предоставл. Единой субвенции (комис. по дел. несов-летних) согл. № 23 от 12.01.2023г.</t>
  </si>
  <si>
    <t xml:space="preserve">2.гл.3 ст.11 п.1, 2, 8 </t>
  </si>
  <si>
    <t>1.с даты опубликования - не ограничен, 2.с 24.05.17г. -не огранич,                 3.с 01.01.23г. по 31.12.23г.</t>
  </si>
  <si>
    <t>5120060890</t>
  </si>
  <si>
    <t>1.Распоряжение руководителя (команд.расходы), 2. Указ  Президента РФ №1110 от 30.05.94г. (с учетом изменений) 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</si>
  <si>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 xml:space="preserve"> ст. 93 ч. 1 п. 4 №44-ФЗ от 05.04.2013г</t>
  </si>
  <si>
    <t xml:space="preserve">организация и осуществлению деятельности по опеке и попечительству в отношении несовершеннолетних </t>
  </si>
  <si>
    <t>1.№1372 -КЗ от 29.12.07г., 2.Устав МО Крымский район №175 от 26.04.17г., 3.согл. о предост. Единой субвенц. на содерж. (упр.опеки) согл. № 23 от 12.01.2023г.</t>
  </si>
  <si>
    <t>1.ст.1, 2.гл.3 ст.11 п.1,2, 8</t>
  </si>
  <si>
    <t>1.с даты опубликования -не ограничен, 2.с 24.05.17г.-не огранич; 3.с 01.01.23г. до 31.12.23г.</t>
  </si>
  <si>
    <t>5120060880</t>
  </si>
  <si>
    <t>1.Распоряжение руководителя (команд.расходы), 2.Указ  Президента РФ №1110 от 30.05.94 г. (с учетом изменений) 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</si>
  <si>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 xml:space="preserve">1. 01.01.99г. - не ограничен, 2.от 17.12.01г.- не ограничен, 3.01.01.97г.-не ограничен, 4.19.07.99г.-не ограгичен </t>
  </si>
  <si>
    <t xml:space="preserve">выявление обстоятельств, свидетельствующих о необходимости оказания детям-сиротам и детям, оставшимся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t>
  </si>
  <si>
    <t>1. №805-КЗ от 15.12.04 г., 2.Устав МО Крымский район №175 от 26.04.2017г.,  3.согл. о предоставл. единой субвенц. на содерж.(ед. по ТЖС) согл. № 23 от 12.01.2023г.</t>
  </si>
  <si>
    <t>1.ст.1, 2.гл.3 ст.11, п.1,2</t>
  </si>
  <si>
    <t>1.с даты опубликования - не ограничен, 2.с 24.05.17г.-не огранич; 3.с 01.01.23г. по 31.12.23г.</t>
  </si>
  <si>
    <t>5120062340</t>
  </si>
  <si>
    <t>1.Распоряжение руководителя (команд.расходы), 2. Указ  Президента РФ №1110 от 30.05.94 г. (с учетом изменений) 3.Постановление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t>
  </si>
  <si>
    <t>01.01.23г.-31.12.23г.</t>
  </si>
  <si>
    <t>Формирование и утверждение списков граждан, пострадавших в  результате ЧС</t>
  </si>
  <si>
    <t>1.№2541-КЗ от 12.07.12г.,      2.Устав МО Крымский район №175 от 26.04.17г.</t>
  </si>
  <si>
    <t>2.гл.3 ст.11 п.1,2</t>
  </si>
  <si>
    <t>1.с даты обнародования - не огранич.,      2.с 24.05.2017г.-не огранич</t>
  </si>
  <si>
    <t>5120060070</t>
  </si>
  <si>
    <t>с даты заключения</t>
  </si>
  <si>
    <t>Осуществление регионального государственного строительного надзора</t>
  </si>
  <si>
    <t>.Устав МО Крымский район №175 от 26.04.17г.</t>
  </si>
  <si>
    <t>5120063640</t>
  </si>
  <si>
    <t>1. с 1.01.23г. не ограничен</t>
  </si>
  <si>
    <t>с даты заключения по 31.12.2023г.</t>
  </si>
  <si>
    <t>Формирование и утверждение списков граждан Российской Федерации, пострадавших в результате чрезвычайных ситуаций регионального и межмуниципального характера</t>
  </si>
  <si>
    <t>1.№2541 -КЗ от 12.07.12г.,  2.Устав МО Крымский район №175 от 26.04.17г.</t>
  </si>
  <si>
    <t>1.с даты обнародования - не огран.,        2.с 24.05.17г.-не огранич</t>
  </si>
  <si>
    <t>5120062600</t>
  </si>
  <si>
    <t>1. 01.01.99 г. - не ограничен, 2.от 17.12.01 г.- не ограничен, 3.01.01.97 г.-не ограничен, 4.19.07.99 г.-не ограгичен  5. с 1.01.23г. не ограничен</t>
  </si>
  <si>
    <t>Осуществление отдельных гос. полн. по осущ. регионального гос. жилищного  надзора и лицензион. контроля</t>
  </si>
  <si>
    <t>1.№3700-КЗ "О наделении органов местного самоупр-я в КК отдельными гос. полномочиями КК по осущ.-ю регион. гос. жил. надзора и лицензионного контроля" от 06.12.17г.,                     2.Устав МО Крымский район №175 от 26.04.17г., 3.Согл. о предост. субвенций на содерд. (ед. по ГЖИ) № 7 от 9.01.2023г.</t>
  </si>
  <si>
    <t>1.01.01.18г.-не ограничен; 2. 24.05.17г.-не огранич;                       3. 01.01.23г.-31.12.23г.</t>
  </si>
  <si>
    <t>5120060220</t>
  </si>
  <si>
    <t>1. 01.01.99г. - не ограничен, 2.от 17.12.01г. - не ограничен, 3.01.01.97г.-не ограничен, 4.19.07.99г.-не ограгичен 5. с 1.01.23г. не ограничен</t>
  </si>
  <si>
    <t>01.01.22г.-31.12.2г.</t>
  </si>
  <si>
    <t>1.№805-КЗ от 15.12.04г., 2.Устав МО Крымский район №175 от 26.04.17г.</t>
  </si>
  <si>
    <t>1.с даты обнародования - не ограничен, 2.с 24.05.17г.- не огранич</t>
  </si>
  <si>
    <t>согл. 140 от 01.12.14г, согл. бн от 05.11.14г.</t>
  </si>
  <si>
    <t>с даты заключения -не ограничен</t>
  </si>
  <si>
    <t>0610010350</t>
  </si>
  <si>
    <t>Организация газоснабжения населения (поселений) (строительство подводящих газопроводов, распределительных газопроводов)</t>
  </si>
  <si>
    <t>1. Устав МО Крымский район №175 от 26.04.2017г.;                                             2.МП "Развитие топливно-энергетич.комплекса", утв. пост.адм.№2274 от 15.11.19г.</t>
  </si>
  <si>
    <t xml:space="preserve">1.Гл.5 ст.39 п.1 </t>
  </si>
  <si>
    <t>1.24.05.17г.-не ограниче; 2.01.01.20г.-31.12.24г.</t>
  </si>
  <si>
    <t>25301100310</t>
  </si>
  <si>
    <t xml:space="preserve">Ведение учета граждан отдельных категорий в качестве нуждающихся в жилых помещениях </t>
  </si>
  <si>
    <t>1.№1535-КЗ от 21.07.08 г., 2.Устав МО Крымский район № 175 от 26.04.2017г.; 3.согл. о предост. субвенц. на содерж. (ед.ЖКХ) № УГ-39 от 23.01.2023г.</t>
  </si>
  <si>
    <t>1.ст.1, 2.гл.3 ст.11 п.1; п.2</t>
  </si>
  <si>
    <t>1.с даты опубликования - не ограничен, 2.с 24.05.17г.- не огранич; 3.01.01.23г. -31.12.23г.</t>
  </si>
  <si>
    <t>5120060870</t>
  </si>
  <si>
    <t>1.Указ  Президента РФ №1110 от 30.05.94 г. (с учетом изменений) 2.Постановление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 3.Распоряжение руководителя (команд. расходы)</t>
  </si>
  <si>
    <t>01.01.23г. - 31.12.23г.</t>
  </si>
  <si>
    <t xml:space="preserve">Поддержка сельскохозяйственного производства в Краснодарском крае в виде предоставления финансовой государственной поддержки развития </t>
  </si>
  <si>
    <t xml:space="preserve">1.Закон КК от 26.12.2005 г.№976-КЗ,  2.МП Крымского района "Развитие сельского хозяйства и регулирование рынков сельскохозяйственной продукции" (2410160910)-мероприятия по ЛПХ пост. №2245 от 28.07.21г. 3. Постан.№ 2072 от 27.07.2022г.
</t>
  </si>
  <si>
    <t>2410160910</t>
  </si>
  <si>
    <t>811</t>
  </si>
  <si>
    <r>
      <t xml:space="preserve">1.Устав МО Крымский район № 175 от 26.04.17г.; </t>
    </r>
    <r>
      <rPr>
        <b/>
        <sz val="11"/>
        <rFont val="Times New Roman"/>
        <family val="1"/>
        <charset val="204"/>
      </rPr>
      <t>2.согл.о предостав. субвенций на осуществление госуд. полномочий по поддержке сельскохоз. производства в агропром. комплексе КК № 63/23 от 3.01.2023г, доп. Согл.№1 от 16.11.23г.</t>
    </r>
  </si>
  <si>
    <t>1.гл.2, ст.8, п.23</t>
  </si>
  <si>
    <r>
      <t xml:space="preserve">1. с 24.05.17 г.-не ограничен,  </t>
    </r>
    <r>
      <rPr>
        <b/>
        <sz val="11"/>
        <rFont val="Times New Roman"/>
        <family val="1"/>
        <charset val="204"/>
      </rPr>
      <t xml:space="preserve"> 2. с 01.01.21г. -31.12.21г.,    </t>
    </r>
    <r>
      <rPr>
        <sz val="11"/>
        <rFont val="Times New Roman"/>
        <family val="1"/>
        <charset val="204"/>
      </rPr>
      <t xml:space="preserve">3.01.01.23г. - 31.12.23г. </t>
    </r>
  </si>
  <si>
    <t xml:space="preserve">организация оздоровления и отдыха детей </t>
  </si>
  <si>
    <t>1.Устав МО Крымский район №175 от 26.04.17г., 2.согл. 3.согл. о предоставл. единой субвенц. на содерж.(ед. по ТЖС) согл. № 23 от 12.01.2023г.</t>
  </si>
  <si>
    <t>1.гл.3 ст.11 п.1,2,8</t>
  </si>
  <si>
    <t>1.с 24.05.17г.-не ограничен; 2. с 01.01.23г.по 31.12.23г.</t>
  </si>
  <si>
    <t>5120060900</t>
  </si>
  <si>
    <t>1. Указ  Президента РФ №1110 от 30.05.94г. (с учетом изменений) 2.Постановление 328 от 08.02.23г. "Об утверждении Положения о порядке и условиях командирования лиц, замещающих муниципальные должности,муниципальных служащих , работником органов местного самоуправления, занимающих должности, не отнесенные к муниципальным должностям и должностям муниципальной службы МО Крымский район"     3.Распоряжение руководителя (команд.расходы)</t>
  </si>
  <si>
    <t>1. 01.01.99г. - не ограничен, 2.от 17.12.0 г.- не огранич, 3.01.01.97г.-не ограничен, 4.19.07.99г.-не ограгичен 5. с 1.01.23г. не ограничен</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</si>
  <si>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t>
  </si>
  <si>
    <r>
      <t xml:space="preserve">1.Мун.прогр. "Управление муниципальными финансами МО Крымский район", утв.пост.№2155 от 12.12.17г., 2.Устав МКУ ЦБ, утв.пост. администрации МО Крымский район №2125 от 07.12.17г., </t>
    </r>
    <r>
      <rPr>
        <b/>
        <sz val="11"/>
        <color rgb="FFFF0000"/>
        <rFont val="Times New Roman"/>
        <family val="1"/>
        <charset val="204"/>
      </rPr>
      <t>3.Закон "5053-КЗ от 20.12.23г. (О краевом бюджете на 2024 и плановые периобы 2025-2026гг.)</t>
    </r>
  </si>
  <si>
    <r>
      <t xml:space="preserve">1.01.01.18г. -31.12.21г., 2.13.12.17г.- не ограничен; 3. </t>
    </r>
    <r>
      <rPr>
        <b/>
        <sz val="11"/>
        <color rgb="FFFF0000"/>
        <rFont val="Times New Roman"/>
        <family val="1"/>
        <charset val="204"/>
      </rPr>
      <t>01.01.23г. - не ограничен</t>
    </r>
  </si>
  <si>
    <t>(администрирование по расходам на выполнение гос.полн. (компенсации части род.платы за присмотр и уход)</t>
  </si>
  <si>
    <t>5140360710</t>
  </si>
  <si>
    <t>1.НК РФ часть 1,2.Федеральный закон № 167-ФЗ от 15.12.01г., 3.Федеральный закон № 27-ФЗ от 01.04.1996г., 4.Федеральный закон № 165-ФЗ от 16.07.1999г. 5. "ЕНС". изменения внесены Федеральным законом от 14.07.2022 №263-ФЗ</t>
  </si>
  <si>
    <t>администрирование по расходам на выполнение гос.полн. (оплата жил. помещений, отопления и освещения пед.раб. а сельских нас.пунктах)</t>
  </si>
  <si>
    <t>5140360820</t>
  </si>
  <si>
    <t>администрирование по расходам на выполнение гос.полн. (обеспечение льготным питанием учащихся из многодетных семей)</t>
  </si>
  <si>
    <t>5140362370</t>
  </si>
  <si>
    <t>1.Мун.прогр. "Управление муниципальными финансами МО Крымский район", утв.пост.№2155 от 12.12.17г.,                 2.Устав МКУ ЦБ, утв.пост. администрации МО Крымский район №2125 от 07.12.17г.</t>
  </si>
  <si>
    <t>1.01.01.18г.-31.12.21г., 2.13.12.17г.- не ограничен</t>
  </si>
  <si>
    <t>5140360860</t>
  </si>
  <si>
    <t>1.Положение об оплате труда работников муниципальных учреждений МО Крымский район, утв.постановлением адм. МО Крымский район от 21.12.17г.№2249, 2.Устав МКУ ЦБ ,    3.Пост.администрации МО Крымский район от 22.06.18г.№946 "Положение об оплате труда работников мун.учреждений МО Крымский район",    4.Положение об оплате труда - приложение к коллект.договору №28-18 от 28.03.18г.,      5.Приказ №74-од от 01.07.19г. "Об утверждении штатного расписания"</t>
  </si>
  <si>
    <t>1.01.01.18г.- не ограничен, 2. 07.12.17г.-не ограничен; 3. 01.06.18г.-не ограничен</t>
  </si>
  <si>
    <t>Пособия, компенсации и иные социальные выплаты гражданам, кроме публичных нормативных обязательств</t>
  </si>
  <si>
    <t xml:space="preserve"> по 31.12.22г.</t>
  </si>
  <si>
    <t xml:space="preserve">           межбюджетные трансферты МО</t>
  </si>
  <si>
    <t>1. Постановление Губернатора КК № 770 от 28.10.22г.                                                  2. Приказ министерство обороны и ЧС КК № 219 от 15.12.22г. (без соглашения)</t>
  </si>
  <si>
    <t>п.5</t>
  </si>
  <si>
    <t>9900062590</t>
  </si>
  <si>
    <t>9900063690</t>
  </si>
  <si>
    <t xml:space="preserve"> по итогам краевого конкурса 1.Пост. Губернатора КК от 30.03.2023г. № 154, 2.Решение Совета МО от 7.04.23г, № 314</t>
  </si>
  <si>
    <t>со дня родписания до 31.12.23г.</t>
  </si>
  <si>
    <t>1650162950</t>
  </si>
  <si>
    <t>540</t>
  </si>
  <si>
    <t>1.Решение Совета МО № 251  от 16.11.22г.                                                  2. Решение Совета МО № 393 от 20.12.23г.</t>
  </si>
  <si>
    <t>0630220700</t>
  </si>
  <si>
    <t>Расходные обязательства, возникшие в результате принятия нормативных правовых актов муниципального района,в случаях заключения соглашения с органами местного самоуправления отдельных  поселений о передаче муниципальному району части полномочий по решению вопросов местного значения поселения</t>
  </si>
  <si>
    <t>Итого р.6</t>
  </si>
  <si>
    <t>создание, содержание и организация деятельности аварийно-спасательных служб и (или) аварийно-спасательных формирований на территории поселения;</t>
  </si>
  <si>
    <t xml:space="preserve">1.№131-ФЗ от 06.10.03г., 2.Реш.сес.Совета МО Крымский район от 27.12.18г. №379, 3.Согл.№1 от 27.12.18г., 4.Пост. главы МО Крымский район от 22.06.18г. №946,оплата труда, 5. Приказ №40-од от 02.07.19г. (об утвержден.положения об оплате труда) </t>
  </si>
  <si>
    <t>1.ст.14 ч.1 п.8,23</t>
  </si>
  <si>
    <t>1.01.01.09г.- не огранич, 2.01.01.21г.-31.12.21г., 3.01.01.21г.-31.12.21г., 4.01.06.18г.- не огранич, 5.02.07.18г.- не ограничен</t>
  </si>
  <si>
    <t xml:space="preserve">1.№131-ФЗ от 06.10.03г., 2.Реш.сес.Совета МО Крымский район от 16.11.2022 №254, 3.Пост. главы МО Крымский район от 22.06.18г. №946,оплата труда, 4.Приказ №86-од от 27.12.19г. (об утвержд. штатного распасания) </t>
  </si>
  <si>
    <t xml:space="preserve">1.№131-ФЗ от 06.10.03г., 2.Реш.сес.Совета МО Крымский район от 27.12.18г. №380, 3.Согл.№2 от 27.12.18г.; 4.Пост. главы МО Крымский район от 22.06.18г.№946,оплата труда, 5.Приказ №40-од от 02.07.19г. (об утвержден.положения об оплате труда) </t>
  </si>
  <si>
    <t>1.ст.14 ч.1 п.24</t>
  </si>
  <si>
    <t xml:space="preserve">1.№131-ФЗ от 06.10.03г., 2.Реш.сес.Совета МО Крымский район № 255 от 16.11.2022г., 4.Пост. главы МО Крымский район от 22.06.18г. №946,оплата труда, 5.Приказ №86-од от 27.12.19г. (об  утвержд. штатного распасания) </t>
  </si>
  <si>
    <t>1.Пост. 2611 от 17.08.23г., Согл бн от 17.08.23г,                      2. пост3686 от 27.10.23г, согл бн от 27.10.23г,                                      3.Пост. 4696 от 20.12.23г. Согл бн от 20.12.23г,</t>
  </si>
  <si>
    <t>9900010770</t>
  </si>
  <si>
    <t>812</t>
  </si>
  <si>
    <t>Направление расходов на софинансирование расходных обязательств связанных с организацией водоснабжения населения бюджетами муниципальных образований Краснодарского края за счет средств резервного фонда администрации Краснодарского края</t>
  </si>
  <si>
    <t>Пост. От 14.07.2022г. № 1845 "Об Об утверждении порядка предоставления субсидии на софинансирование расходных обязательств по вопросам местного значения связанным с организацией теплоснабжения населения, путем финансового обеспечения в установленном законодательством порядке затрат теплосноюжающей организации по погашению кредиторской задолженности"</t>
  </si>
  <si>
    <t>99000S2400</t>
  </si>
  <si>
    <t>Пост. От 7.12.2022г. № 3685 "Об утверждении порядка предоставления субсидии на софинансирование расходных обязательств в рамках организации водоснабжения населения, путем финансового обеспечения в установленном законодательством порядке затрат водоснабжающей организации по погашению кредиторской задолженности в целях водоснабжения населения</t>
  </si>
  <si>
    <t>813</t>
  </si>
  <si>
    <t>Уставной фонд</t>
  </si>
  <si>
    <t>Пост. РФ №492 от 18.09.20г. "Об общих треб.к НПА", Приказ МФ №1994 от 31.10.16г., Пост.№2893 от 29.09.21г., Пост.№2894 от 29.09.21г.</t>
  </si>
  <si>
    <t>п.1, ст.78.2 БК</t>
  </si>
  <si>
    <t>5200011480</t>
  </si>
  <si>
    <t xml:space="preserve">Об утверждении муниципальной программы муниципального образования Крымский район «Проведение мероприятий по рекультивации земельных участков - свалки твердых бытовых (коммунальных) отходов на открытой местности, граничащей с ЛПДС «Крымская» </t>
  </si>
  <si>
    <t>1. Постановление № 3053 от 20.09.23г.                                                   2. Решение Совета МО №393 от 20.12.2023г.</t>
  </si>
  <si>
    <t>п.5 ЗК</t>
  </si>
  <si>
    <t>06</t>
  </si>
  <si>
    <t>3010009310</t>
  </si>
  <si>
    <t>Всего по администрации муниципального образования  Крымский район</t>
  </si>
  <si>
    <t>Всего по Финансовому управлению администрации МО Крымский район</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</si>
  <si>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</si>
  <si>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Устав МО Крымский район, принятый решением Совета МО №396 от 09.04.2014</t>
  </si>
  <si>
    <t>1.Решение Совета МО Крымский район от 23.05.2018г. №304"Об утверждении Положения об оплате труда муниципальных служащих органов местного самоуправления муниципального образования Крымский район"(с учетом изменений).</t>
  </si>
  <si>
    <t>п.1,2</t>
  </si>
  <si>
    <t>с21.03.2016г.</t>
  </si>
  <si>
    <t>6710000190</t>
  </si>
  <si>
    <t>100</t>
  </si>
  <si>
    <t>Пост. главы МО Крымский район от 12.12.2016г.№1192,прочие выплаты</t>
  </si>
  <si>
    <t>Услуги связи, транспортные услуги, услуги по содержанию имущества, прочие услуги, увеличение стоимости материальных запасов, увеличение стоимости ОС</t>
  </si>
  <si>
    <t>240</t>
  </si>
  <si>
    <t>Прочие расходы.Налоговый кодекс РФ, учетная политика от 28.12.18г. №82-од</t>
  </si>
  <si>
    <t>р.3</t>
  </si>
  <si>
    <t>с 01.01.2014г.</t>
  </si>
  <si>
    <t>850</t>
  </si>
  <si>
    <t>67100000190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</si>
  <si>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</si>
  <si>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 xml:space="preserve">Устав МО Крымский район, принятый решением Совета </t>
  </si>
  <si>
    <t>№396</t>
  </si>
  <si>
    <t>09.04.2014г</t>
  </si>
  <si>
    <t>15146,0</t>
  </si>
  <si>
    <t>2800209300</t>
  </si>
  <si>
    <t>511</t>
  </si>
  <si>
    <t>2800209400</t>
  </si>
  <si>
    <t>Всего по Контрольно-счетной палате муниципального образования Крымский район</t>
  </si>
  <si>
    <t>ст.15 п.1</t>
  </si>
  <si>
    <t>1.Устав МО Крымский район, принятый решением Совета МО №175 от 26.04.2017г., 2.Реш.Совета МО Кр.р-н " О конт.-счет.палате МО Крымс.р-н" № 169 от 26.10.11 г.</t>
  </si>
  <si>
    <t>гл.5 ст.44,45,46,47</t>
  </si>
  <si>
    <t>1.24.05.2017 г. -бессрочно; 2.01.01.12 г.- не ограничен</t>
  </si>
  <si>
    <t>1.Решение Совета МО Крымский район от 21.12.2022г. № 279 Об утверждении Положения об оплате труда лиц, замещающих муниципальные должности в органах местного самоуправления муниципального образования Крымский район",                                      2. Распоряжение о штатном расписании контрольно-счетной палаты мун.обр.Крымский район №34-к от 29.12.2022г.</t>
  </si>
  <si>
    <t>1. 21.12.22г.-не ограничен, 2. 29.12.2022г.</t>
  </si>
  <si>
    <t>6810000190</t>
  </si>
  <si>
    <t>1.НК РФ часть 1, 2.Федеральный закон № 167-ФЗ от 15.12.2001 г., 3.Федеральный закон № 27-ФЗ от 01.04.1996 г., 4.Федеральный закон № 165-ФЗ от 16.07.1999 г.             5.Федеральный закон от 29.11.2021 № 379-ФЗ</t>
  </si>
  <si>
    <t>1. 01.01.99 г. - не ограничен, 2.от 17.12.01 г.- не ограничен, 3.01.01.97 г.-не ограничен, 4.19.07.99 г.-не ограгичен, 5. 29.11.21- не ограничен</t>
  </si>
  <si>
    <t>6820000190</t>
  </si>
  <si>
    <t>1.НК РФ часть 1, 2.Федеральный закон № 167-ФЗ от 15.12.2001 г., 3.Федеральный закон № 27-ФЗ от 01.04.1996 г., 4.Федеральный закон № 165-ФЗ от 16.07.1999 г. 5.5.Федеральный закон от 29.11.2021 № 379-ФЗ</t>
  </si>
  <si>
    <t>Распоряжения руководителя</t>
  </si>
  <si>
    <t>Дог. ТУС-03/2023 от 09.01.23г.; дог. 781 от 09.01.23г.; дог.781-Б2 от 20.02.23г.; дог.1 от 02.06.23г.; дог.К11978/23 от 07.06.23г.; дог.3871 от 12.01.23г; дог.177/5655 от 09.01.23г.; дог. б/н от 11.07.23г. дог.№781 от 11.01.21г, дог. №ТУС-09/2022 от 10.01.22г., дог. №781 от 24.01.22г.(связь), А/о от 26.01.22г., дог. № 1540118/22 от 08.06.22г.(контур), А/о от 11.01.22г.( усл.нотариуса), дог.№177/5655 от 26.01.22г.(лицензия), дог. №9 от 25.01.22г.(отчёт 2ТП), дог. №IT000583385 от 04.04.22г., дог.№ ДИС11-9/22 от 23.05.22г. (курсы),  дог. №15110118/22 от 08.06.22г.(контур), дог. №2 от 18.01.22г. (мебель), дог.№Е-00179800 от 11.04.22г.(офис.техника), дог.№16 от 04.04.22г.(оснастка печати), дог.№ Е-00179800 от 11.04.22г.(офисн.техника), А/о № от 26.01.22г. (сетевой фильт), дог.№Е-00179800 от 11.04.22г.</t>
  </si>
  <si>
    <t>с даты заключения по 31.12.2022 г.</t>
  </si>
  <si>
    <t>ФЗ -146 от 31.07.98 г. (налоговый кодекс); Федеральный закон от 29.11.2021 № 379-ФЗ</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</si>
  <si>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общеобразовательными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финансового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t>
  </si>
  <si>
    <t>1. 131-ФЗ от 06.10.2003г., 2, Положение об отделе капитального строительства администрации МО Крымский район, принятое решение Совета МО Крымский район №536 от 19.02.2020г.</t>
  </si>
  <si>
    <t>ст. 15 п.1 пп.11</t>
  </si>
  <si>
    <t>1. 01.01.2009г., не орграничен; 2. 19.02.2020г. Не ограничен</t>
  </si>
  <si>
    <t xml:space="preserve">1.РешениеСовета от 20.12.2023г. № 393.                             2. Муниципальная программа муниципального образования Крымский район № 2028 от 27.07.2022 "Развитие топливно-энергетического комплекса"   Реализация мероприятий по газификации поселений </t>
  </si>
  <si>
    <t>с 2025 по 2029гг.</t>
  </si>
  <si>
    <t>25201S0620</t>
  </si>
  <si>
    <t>414</t>
  </si>
  <si>
    <t>1. НК РФ, 2.Пост. 2495 от 08.08.2023г. 3. Пост.2192 от 14.07.23г. 4.МП "Развитие топливо-энергетического комплекса"</t>
  </si>
  <si>
    <t>1.с 01.01.2020г. по 31.12.2024г.</t>
  </si>
  <si>
    <t>2530111580</t>
  </si>
  <si>
    <t>1.01.01.1999г.-не ограничен,     2. 01.01.21г.-31.12.21г.                 3.с 01.01.25г. по 31.12.29г.</t>
  </si>
  <si>
    <t xml:space="preserve">1.РешениеСовета от 20.12.2023г. № 393.                                    2.Муниципальная программа муниципального образования Крымский район "Развитие топливно-энергетического комплекса"     </t>
  </si>
  <si>
    <t>1.с 2020 по 2024 гг                                      2.с 2025 по 2029гг.</t>
  </si>
  <si>
    <t>2530161070</t>
  </si>
  <si>
    <t>2530167471</t>
  </si>
  <si>
    <t>2530167472</t>
  </si>
  <si>
    <t xml:space="preserve">1. НК РФ, 2.Решение совета №30 от 23.12.2020г., 3.МП "Развитие образования", уст. пост.администрации № 1902 от 01.11.2018г, 3. </t>
  </si>
  <si>
    <t>1.Часть 2, гл.31</t>
  </si>
  <si>
    <t>0210211580</t>
  </si>
  <si>
    <t>1.Решение Совета №30 от 23.12.2020г.,2.МП "Развитие образования" уст.пост.администрации №1902 от 01.11.2018г.</t>
  </si>
  <si>
    <t>1. 01.01.21г.-31.12.21г.,      2. 01.01.20г.-31.12.24г.            3.с 01.01.25г. по 31.12.29г.</t>
  </si>
  <si>
    <t>0220211580</t>
  </si>
  <si>
    <t>Часть 2, гл.31</t>
  </si>
  <si>
    <t>1.01.01.1999г.-не ограничен</t>
  </si>
  <si>
    <t>02202S0470</t>
  </si>
  <si>
    <t>1. НК РФ, 2.Решение совета №30 от 23.12.2020г., 3.МП "Развитие топливно-энергетического комплекс"</t>
  </si>
  <si>
    <t>2510109910</t>
  </si>
  <si>
    <t xml:space="preserve">1.Решение Совета №30 от 23.12.2020г.,2.МП "Развитие культуры" </t>
  </si>
  <si>
    <t>1020111580</t>
  </si>
  <si>
    <t>Cтроительство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</si>
  <si>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1. НК РФ, 2.Решение совета №271 от 21.12.21г. 2.Решение сессии 393 от 20.12.2023г.</t>
  </si>
  <si>
    <t>0620211580</t>
  </si>
  <si>
    <t>Решение сессии 393 от 20.12.2023г.</t>
  </si>
  <si>
    <t>0620260960</t>
  </si>
  <si>
    <t>062N953651</t>
  </si>
  <si>
    <t>062N9C3651</t>
  </si>
  <si>
    <t>Строительство объектов социального и производственного комплексов, в том числе объектов общегражданского назначения, жилья, инфраструктуры,включая проектно-изыскательские работы</t>
  </si>
  <si>
    <t>1220211580</t>
  </si>
  <si>
    <t>Отдел капитального строительства администрации муниципального образования Крымский район</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</si>
  <si>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</si>
  <si>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Итого:</t>
  </si>
  <si>
    <t xml:space="preserve">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t>
  </si>
  <si>
    <t xml:space="preserve">Соглашения № 1-38, 82, 85, 86, 87 от 26.12.2023 г. На предоставление субсидий на выполнение муниципального задания на 2023 год.; Постановление гл.МО Крымский район №214 от 27.02.2018г."Об утверждении Положения об отраслевой системе оплаты труда работников муниципальных образовательных организаций, подведомственных управлению образования администрации муниципального образования Крымский район"; Постановления гл.МО Крымский район: МБДОУ детский сад № 1 г.Крымска МО Крымский район №690 от 20.03.2012; МБДОУ детский сад № 2 г.Крымска МО Крымский район №2020 от 13.07.2011; МБДОУ детский сад комбинированного вида № 4 г.Крымска МО Крымский район №2981 от 18.10.2011; МБДОУ детский сад № 5 с.Молдаванского МО Крымский район №2990 от 18.10.2011; МБДОУ детский сад общеразвивающего вида № 6 г.Крымска МО Крымский район №3110 от 24.10.2011; МБДОУ детский сад комбинированного вида № 7 г.Крымска МО Крымский район №2991 от 18.10.2011; МБДОУ детский сад № 8 ст.Троицкой МО Крымский район №3177 от 26.10.2011; МБДОУ детский сад общеразвивающего вида № 9 ст.Варениковской МО Крымский район №1277 от 24.06.2014; МБДОУ центр развития ребенка - детский сад № 10 ст.Нижнебаканской МО Крымский район №184 от 27.01.2014; Муниципальное бюджетное дошкольное образовательное учреждение детский сад №11 города Крымска МО Крымский район №1063 от 13.04.2011; МБДОУ детский сад общеразвивающего вида № 12 г.Крымска МО Крымский район №3101 от 24.10.2011; МБДОУ детский сад общеразвивающего вида № 13 ст.Троицкой МО Крымский район №2165 от 16.10.2012; МБДОУ детский сад комбинированного вида № 14 г.Крымска МО Крымский район №2982 от 18.10.2011; МБДОУ детский сад № 15 п.Южного МО Крымский район №2989 от 18.10.2011; МБДОУ детский сад № 16 с.Киевского МО Крымский район №2184 от 24.10.2012; МБДОУ детский сад комбинированного вида № 17 г.Крымска МО Крымский район №2984 от 18.10.2011; МБДОУ детский сад комбинированного вида № 18 г.Крымска МО Крымский район №3106 от 24.10.2011; МБДОУ детский сад комбинированного вида № 19 г.Крымска МО Крымский район №2985 от 18.10.2011; Муниципальное бюджетное дошкольное образовательное учреждение детский сад №20 ст.Варениковской МО Крымский район №1317 от 08.07.2013; МБДОУ детский сад № 22 ст.Варениковской МО Крымский район №777 от 23.04.2014; МБДОУ детский сад № 24 ст.Варениковской МО Крымский район №2256 от 30.10.2012; МБДОУ детский сад № 25 п.Саук-Дере МО Крымский район №702 от 20.03.2012; Муниципальное бюджетное дошкольное образовательное учреждение детский сад №26 ст.Варениковской МО Крымский район №827 от 02.04.2012; МБДОУ детский сад № 27 с.Молдаванского МО Крымский район №3105 от 24.10.2011; МБДОУ детский сад № 28 с.Экономического МО Крымский район №2057 от 18.07.2011; МБДОУ детский сад № 29 с.Киевского МО Крымский район №2986 от 18.10.2011; МБДОУ детский сад № 31 с.Русского МО Крымский район №3103 от 24.10.2011; МБДОУ детский сад № 32 х.Адагум МО Крымский район №2167 от 16.10.2012; Муниципальное бюджетное дошкольное образовательное учреждение детский сад №33 ст.Неберджаевской МО Крымский район №778 от 23.04.2014; МБДОУ детский сад № 34 х.Павловского МО Крымский район №2359 от 03.12.2013; МДОУ детский сад комбинированного вида № 35 г.Крымска МО Крымский район №984 от 07.04.2011; МБДОУ детский сад № 36 п.Виноградного МО Крымский район №701 от 20.03.2012; МБДОУ детский сад № 37 х.Школьного МО Крымский район №2988 от 18.10.2011; МБДОУ детский сад № 39 х.Новоукраинского МО Крымский район №698 от 20.03.2012; МБДОУ детский сад № 40 х.Армянского МО Крымский район №1660 от 28.07.2014; МБДОУ детский сад № 41 х.Непиль МО Крымский район №2360 от 03.12.2013; МБДОУ детский сад № 42 х.Даманка МО Крымский район №1275 от 24.06.2014; МБДОУ детский сад № 43 х.Садового МО Крымский район №680 от 20.03.2012; Муниципальное бюджетное дошкольное образовательное учреждение детский сад №44 х.Веселого МО Крымский район №792 от 30.04.2014; </t>
  </si>
  <si>
    <t>20.03.2012; 13.07.2011; 18.10.2011; 18.10.2011; 24.10.2011; 18.10.2011; 26.10.2011; 24.06.2014; 27.01.2014; 13.04.2011; 24.10.2011; 16.10.2012; 18.10.2011; 18.10.2011; 24.10.2012; 18.10.2011; 24.10.2011; 18.10.2011; 08.07.2013; 23.04.2014; 30.10.2012; 20.03.2012; 02.04.2012; 24.10.2011; 18.07.2011; 18.10.2011; 24.10.2011; 16.10.2012; 23.04.2014; 03.12.2013; 07.04.2011; 20.03.2012; 18.10.2011; 20.03.2012; 28.07.2014; 03.12.2013; 24.06.2014; 20.03.2012; 30.04.2014 - не ограничен</t>
  </si>
  <si>
    <t>0210100590</t>
  </si>
  <si>
    <t>611</t>
  </si>
  <si>
    <t xml:space="preserve">Соглашения № 82, 85, 86, 87 от 24.12.2023 г. На предоставление субсидий на выполнение муниципального задания на 2023 год.;Постановление гл.МО Крымский район №214 от 27.02.2018г."Об утверждении Положения об отраслевой системе оплаты труда работников муниципальных образовательных организаций, подведомственных управлению образования администрации муниципального образования Крымский район", Постановления гл.МО Крымский район №1002 от 09.09.2015 МАДОУ детский сад общеразвивающего вида №3 г.Крымска; МА ДОУ детский сад №21 города Крымска МО Крымский район №760 от17.06.2015.; МА ДОУ детский сад №23 х.Плавненского МО Крымский район № 305 от 20.02.2015; МАДОУ детский сад № 30 с. Киевского МО Крымский район №896 от 28.07.2015;   МАДОУ детский сад № 38 х.Новоукраинского МО Крымский район №895 от 28.07.2015; </t>
  </si>
  <si>
    <t>25.01.2011; 05.11.2013; 06.06.2014- не ограничен</t>
  </si>
  <si>
    <t>621</t>
  </si>
  <si>
    <t>Постановление главы администрации (губернатора) Краснодарского края от 18.03.2022 года № 95 "Распределение иных межбюджетных трансфертов"</t>
  </si>
  <si>
    <t>01.01.2022 - 31.12.2022</t>
  </si>
  <si>
    <t>0240202980</t>
  </si>
  <si>
    <t>612</t>
  </si>
  <si>
    <t>Постановление администрации муниципального образования Крымский район от 01.11.2018 года № 1902 "Об утверждении муниципального образования Крымский район "Развитие образования на 2020 - 2024 годы"</t>
  </si>
  <si>
    <t>18.03.2021 - 31.12.2021</t>
  </si>
  <si>
    <t>0240262980</t>
  </si>
  <si>
    <t>Соглашение № 201-825-2023-03625000-077 от 31.01.2023 г. 4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</si>
  <si>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01.01.2025-31.12.2029</t>
  </si>
  <si>
    <t>02102S3410</t>
  </si>
  <si>
    <t>Соглашения № 44 -76, 84, 103 от 26.12.2022 г. На предоставление субсидий на выполнение муниципального задания на 2022 год, ; Постановление гл.МО Крымский район №214 от 27.02.2018г."Об утверждении Положения об отраслевой системе оплаты труда работников муниципальных образовательных организаций, подведомственных управлению образования администрации муниципального образования Крымский район"; Постановления гл.МО Крымский район: МБОУ СОШ №1 г. Крымска МО Крымский район №612 от 05.05.2015 ;МБОУ СОШ №2 г. Крымска МО Крымский район №637 от 12.05.2015; МБОУ СОШ №3 г. Крымска МО Крымский район № 610 от 05.05.2015; МБОУ СОШ №4 с. Мерчанского МО Крымский район № 761 от 17.06.2015;МБОУ ООШ №5 х.Садового МО Крымский район № 729 от 08.06.2015 ;МБОУ СОШ №6  г. Крымска МО Крымский район № 605 от 05.05.2015;МБОУ гимназия №7  г. Крымска МО Крымский район № 906 от 28.07.2015; МБОУ СОШ №8  г. Крымска МО Крымский район № 2209 от 18.12.2017; МБОУ СОШ №9  г. Крымска МО Крымский район № 1279 от 07.08.2018; МБОУ СОШ №10 ст. Неберджаевской МО Крымский район № 697 от 27.05.2015; МБОУ СОШ №12 с. Киевского МО Крымский район №759 от 17.06.2015; МБОУ ООШ №14 х. Даманка МО Крымский район № 619 от 06.05.2015; МБОУ СОШ №16 с. Молдаванского МО Крымский район № 765 от 07.06.2015; МБОУ СОШ №20 г. Крымска МО Крымский район № 613 от 05.05.2015; МБОУ ООШ №22 х.Новотроицкого МО Крымский район №730 от 08.06.2015; МБОУ ООШ №23 х. Красного МО Крымский район № 503 от 08.04.2015; МБОУ СОШ №24 г.Крымска  МО Крымский район № 892 от 28.07.2015; МБОУ СОШ №25 г. Крымска МО Крымский район № 758 от 17.06.2015; МБОУ ООШ №28 с. Фадеево МО Крымский район № 696 от 27.05.2015; МБОУ СОШ №31 с. Экономического МО Крымский район № 793 от 23.06.2015; МБОУ СОШ №36 х. Армянского МО Крымский район № 788 от 23.06.2015; МБОУ ООШ №38 п. Виноградного МО Крымский район № 792 от 23.06.2015; МБОУ СОШ №41 ст. Варениковской МО Крымский район № 698 от 27.05.2015; МБОУ СОШ №44 х. Новоукраинского МО Крымский район № 764 от 17.06.2015; МБОУ СОШ №45 п. Саук-Дере МО Крымский район №888 от 28.07.2015; МБОУ СОШ №55 ст. Варениковской МО Крымский район № 2224 от 11.11.2019; МБОУ СОШ №56 ст. Варениковской МО Крымский район № 620 от 06.05.2015; МБОУ СОШ №57 ст. Троицкой МО Крымский район № 795 от 23.06.2015; МБОУ СОШ №58 ст. Варениковской МО Крымский район № 791 от 23.06.2015; МБОУ СОШ №59 х. Школьного МО Крымский район № 790 от 23.06.2015; МБОУ ООШ №60 с. Новопокровского МО Крымский район №742 от 11.06.2015; МБОУ СОШ №61 х. Адагум МО Крымский район № 887 от 28.07.2015; МБОУ СОШ №62 х. Павловского МО Крымский район № 1033 от 24.09.2015; МБОУ ООШ №65  МО Крымский район № 897 от 28.07.2015; МБОУ ООШ №66 МО Крымский район № 889 от 28.07.2015</t>
  </si>
  <si>
    <t>20.03.2012; 20.03.2012; 16.08.2011; 20.03.2012; 20.03.2012; 20.03.2012; 29.07.2011; 24.10.2011; 20.03.2012; 30.09.2013; 28.03.2012; 24.10.2012; 15.06.2012; 28.05.2012; 18.07.2011; 20.03.2012; 26.09.2011; 20.03.2012; 24.08.2011; 20.03.2012; 20.03.2012; 21.03.2012; 28.03.2012; 20.03.2012; 06.04.2011;  29.03.2011; 20.03.2012;  20.03.2012; 20.03.2012; 06.11.2013; 28.07.2011; 20.03.2012; 20.03.2012 - не ограничен</t>
  </si>
  <si>
    <t>0220100590</t>
  </si>
  <si>
    <t>Соглашения № 84 от 24.12.2021 г. На предоставление субсидий на выполнение муниципального задания на 2022 год, ; Постановление гл.МО Крымский район №214 от 27.02.2018г."Об утверждении Положения об отраслевой системе оплаты труда работников муниципальных образовательных организаций, подведомственных управлению образования администрации муниципального образования Крымский район";</t>
  </si>
  <si>
    <t>Соглашение № 201-825-2023-03625000-136 от 16.03.2023 г. Капитальный ремонт и переоснащение пищевых блоков муниципальных общеобразовательных организаций</t>
  </si>
  <si>
    <t>10.06.2021 - 31.12.2021</t>
  </si>
  <si>
    <t>02202S3380</t>
  </si>
  <si>
    <t>Соглашение № 201-825-2024-03625000-069 от 09.02.2024 г.  Предоставление субсидии на проведение капитальных ремонтов зданий, помещений,сооружений,  благоустройство территорий, прилегающих к зданиям и сооружениям</t>
  </si>
  <si>
    <t>20.06.2022-31.12.2022</t>
  </si>
  <si>
    <t>02202S0100</t>
  </si>
  <si>
    <t>Соглашение № 201-825-2024-03625000-023 от 22.01.2024 г. Предоставление 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</si>
  <si>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08.02.2022-31.12.2024</t>
  </si>
  <si>
    <t>02202S3550</t>
  </si>
  <si>
    <t>622</t>
  </si>
  <si>
    <t>01.01.2022-31.12.2024</t>
  </si>
  <si>
    <t>0220609130</t>
  </si>
  <si>
    <t>Соглашение № 03625000-1-2022-002 от 31.01.2022 г. Предоставление субсидии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</si>
  <si>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31.01.2022-31.12.2022</t>
  </si>
  <si>
    <t>022Е250970</t>
  </si>
  <si>
    <t>Соглашение № 201-825-2022-03625000-104 от 09.02.2022 г. Предоставление субсидии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</si>
  <si>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09.02.2022-31.12.2023</t>
  </si>
  <si>
    <t>022Е2С0970</t>
  </si>
  <si>
    <t>02202S3410</t>
  </si>
  <si>
    <t xml:space="preserve">Cоглашение № 03625000-1-2024-001 от 26.01. 2024 г. о предоставлении субсидии из бюджета Краснодарского края бюджету муниципального образования Краснодарского края в целях софинансирования расходных обязательств муниципальных образований Краснодарского края по организации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</si>
  <si>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02204L3040</t>
  </si>
  <si>
    <t>Соглашение № 201-825-2024-03625000-089 от 12.02.2024 г.  «Приобретение движимого имущества для обеспечения функционирования вновь созданных и (или) создаваемых мест в муниципальных образовательных организациях»</t>
  </si>
  <si>
    <t>01.01.2023 - 31.12.2026</t>
  </si>
  <si>
    <t>02202S3370</t>
  </si>
  <si>
    <t>Соглашение № И - 72 от 16.12.2022 г.  «Реконструкция  МБОУ СОШ № 36 хутора Армянского муниципального образования Крымский район. 1-й этап - строительство универсального спортивного зала»</t>
  </si>
  <si>
    <t>16.12.2022- 31.12.2023</t>
  </si>
  <si>
    <t>464</t>
  </si>
  <si>
    <t>Соглашения № 42, 43, 80 от 26.12.2022 г. На предоставление субсидий на выполнение муниципального задания на 2022 год, Постановление гл.МО Крымский район №214 от 27.02.2018г."Об утверждении Положения об отраслевой системе оплаты труда работников муниципальных образовательных организаций, подведомственных управлению образования администрации муниципального образования Крымский район"; Постановления гл.МО Крымский район: МБУ ДО ДЮСШ №2 г. Крымска МО Крымский район № 1906 от 06.11.2018; МБУ ДО ДЭБЦ г. Крымска МО Крымский район № 904 от 28.07.2015; МБУ ДО ЦРТДЮ г. Крымска МО Крымский район № 1577 от 18.09.2018.</t>
  </si>
  <si>
    <t>01.01.2018</t>
  </si>
  <si>
    <t xml:space="preserve">0230100590 </t>
  </si>
  <si>
    <t>614</t>
  </si>
  <si>
    <t>Соглашения № 83 от 26.12.2022 г. На предоставление субсидий на выполнение муниципального задания на 2022 год,  Постановление гл.МО Крымский район №214 от 27.02.2018г."Об утверждении Положения об отраслевой системе оплаты труда работников муниципальных образовательных организаций, подведомственных управлению образования администрации муниципального образования Крымский район";</t>
  </si>
  <si>
    <t>624</t>
  </si>
  <si>
    <t>0230100591</t>
  </si>
  <si>
    <t>615</t>
  </si>
  <si>
    <t>625</t>
  </si>
  <si>
    <t>635</t>
  </si>
  <si>
    <t>816</t>
  </si>
  <si>
    <t>Постановление администрации муниципального образования Крымский район от 30.10.2018 года № 1873 "Об утверждении муниципальной программы муниципального образования Крымский район "Развитие физической культуры и спорта на 2020 - 2024 годы"</t>
  </si>
  <si>
    <t>1210110670</t>
  </si>
  <si>
    <t>1210110671</t>
  </si>
  <si>
    <t>Пост. № 1299,1300,1301 от 18.12.2015 о создании муниципального казенного учреждения ХЭС, ИМЦ, цоко, Пост.гл.МО Крымский район от 31.08.2011 №2515 МКУ ЦБ УО администрации МО Крымский район; РС от 30.01.2008г. №576  "Положение об отраслевых структурных подразделениях администрации МО Крымский район, имеющих статус юридического лица", Постановление гл.МО Крымский район №269 от 10.02.2012г."Положение об оплате труда работников муниципальных учреждений муниципального образования Крымский район"</t>
  </si>
  <si>
    <t>28.07.2014- не ограничен</t>
  </si>
  <si>
    <t>0240500590</t>
  </si>
  <si>
    <t>Постановление администрации МО Крымский район №1902 от 01.11.2018 "Об утверждении МП МО Крымский район "Развитие образования" (срок реализации - 2020-2024 годы)</t>
  </si>
  <si>
    <t>01.01.2019-31.12.2024</t>
  </si>
  <si>
    <t>113</t>
  </si>
  <si>
    <t>Закон Краснодарского края от 23 декабря 2022 года № 4825 КЗ "О краевом бюджете на 2023 год и на плановый период 2024 и 2025 годов"</t>
  </si>
  <si>
    <t>022ЕВ5179F</t>
  </si>
  <si>
    <t>Соглашение № 03625000-1-2023-007 от 24.01.2023 года "в рамках реализации мероприяти регионального проекта "Патриотическое воспитание граждан Российской Федерации" (приобретение товаров (работ, услуг) в целях оснащения муниципальных общеобразовательныхорганизаций государственными символами Российской Федерации)</t>
  </si>
  <si>
    <t>022ЕВ57860</t>
  </si>
  <si>
    <t>Постановление администрации МО Крымский район №2275 от 15 ноября 2019 года "Об утверждении МП МО Крымский район "Обеспечение безопасности населения" (срок реализации - 2020-2024 годы)</t>
  </si>
  <si>
    <t>0950110110</t>
  </si>
  <si>
    <t>0920110280</t>
  </si>
  <si>
    <t>Постановление администрации МО Крымский район №2000 от 23 ноября 2018 года "Об утверждении МП МО Крымский район  "Формирование условий для духовно нравственного развития граждан" (срок реализации - 2020-2024 годы)</t>
  </si>
  <si>
    <t>1810209150</t>
  </si>
  <si>
    <t>Постановление администрации МО Крымский район №2286 от 26 декабря 2018 года "Об утверждении МП МО Крымский район "Доступная среда" (срок реализации - 2020-2024 годы)</t>
  </si>
  <si>
    <t>0410111490</t>
  </si>
  <si>
    <t>Организация и осуществление мероприятий межпоселенческого характера по работе с детьми и молодежью</t>
  </si>
  <si>
    <t>Решение Совета МО Крымский район №175 от 26.04.2017 г. "О принятии устава муниципального образования Крымский район</t>
  </si>
  <si>
    <t>гл.2 ст.8 п.1 пп.25</t>
  </si>
  <si>
    <t xml:space="preserve">26.04.2017-не ограничен; 
</t>
  </si>
  <si>
    <t>Постановление администрации МО Крымский район №2206 от 19.12.2018 "Об утверждении МП МО Крымский район "Дети Крымского района"(срок реализации - 2020-2024 годы)</t>
  </si>
  <si>
    <t>0510210400</t>
  </si>
  <si>
    <t>0510263110</t>
  </si>
  <si>
    <t>владение, пользование и распоряжение имуществом, находящимся в муниципальной собственности муниципального района</t>
  </si>
  <si>
    <t xml:space="preserve">гл.2 ст.8 п.1 пп.3; </t>
  </si>
  <si>
    <t>Постановление администрации МО Крымский район №2274 от 15 ноября 2019 года "Об утверждении МП МО Крымский район "Развитие топливно-энергетического комплекса" (срок реализации - 2020-2024 годы)</t>
  </si>
  <si>
    <t>01.01.2020-31.12.2024</t>
  </si>
  <si>
    <t>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</si>
  <si>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работников муниципальных учреждений</t>
  </si>
  <si>
    <t>0240320400</t>
  </si>
  <si>
    <t>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</si>
  <si>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Льготное питание детей из многодетных семей,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</si>
  <si>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Закон Краснодарского края от 20 декабря 2023 года № 5053 КЗ "О краевом бюджете на 2024 год и на плановый период 2025 и 2026 годов"</t>
  </si>
  <si>
    <t>01.01.2023 - 31.12.2025</t>
  </si>
  <si>
    <t>0220462370</t>
  </si>
  <si>
    <t>0220263540</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</si>
  <si>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t>
  </si>
  <si>
    <t>0210360820</t>
  </si>
  <si>
    <t>0220360820</t>
  </si>
  <si>
    <t>на финансирование общеобразовательных учреждений в части реализации ими основных общеобразовательных программ и ЕГЭ, проведение мероприятий по обеспечению деятельности советников директора по воспитанию</t>
  </si>
  <si>
    <t>0210160860</t>
  </si>
  <si>
    <t>0220160860</t>
  </si>
  <si>
    <t>0220662500</t>
  </si>
  <si>
    <t>022ЕВ51790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</si>
  <si>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</si>
  <si>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0220353032</t>
  </si>
  <si>
    <t>реализация Закона Кк  "О социальной поддержке отдельных категорий педагогических работников гос мун образовательных учреждений допобразования детей Кк 1216074</t>
  </si>
  <si>
    <t>Соглашение от 10 февраля 2022 года предоставление Субвенций местным бюджетам в целях финансового обеспечения расходных обязательств муниципальных образований раснодарского края, возникающих при выполнении отдельных государственных полномочий п  предоставлению социальной поддержки отдельным категориям работников муниципальных физкультурно-спортивных организаций</t>
  </si>
  <si>
    <t>0230360740</t>
  </si>
  <si>
    <t xml:space="preserve">Осуществление отдельных госполномочий Кк по организации оздоровления и отдыха детей </t>
  </si>
  <si>
    <t>Соглашение от 17 января 2024 года № 23 о предоставлении в 2024 году из бюджета Краснодарского края бюджету муниципального образования Крымский район единой субвенции в области социальной политики</t>
  </si>
  <si>
    <t>01.01.2024 - 31.12.2025</t>
  </si>
  <si>
    <t>0510260840</t>
  </si>
  <si>
    <t>Социальная поддержка граждан</t>
  </si>
  <si>
    <t>выплаты денежных средств на сод детей-сирот и детей, оставшихся без попечения родителей, переданных на воспитание в приемные семьи</t>
  </si>
  <si>
    <t>6410060670</t>
  </si>
  <si>
    <t>Обеспечение выплаты ежемесячного вознаграждения, причитающегося приемным родителям за оказание услуг по воспитанию приемных детей</t>
  </si>
  <si>
    <t>6410060680</t>
  </si>
  <si>
    <t>323</t>
  </si>
  <si>
    <t xml:space="preserve">обеспечение выплаты компенсации части родительской платы за содержание ребенка </t>
  </si>
  <si>
    <t>6410060710</t>
  </si>
  <si>
    <t>осуществление отдельных гос полномочий по предоставлению ежемесячных де-нежных выплат на содержание детей-сирот, детей, переданных на патронатное воспитание</t>
  </si>
  <si>
    <t>6410060720</t>
  </si>
  <si>
    <t>Обеспечение выплаты ежемесячного вознаграждения, причитающегося патронатным родителям за оказание услуг по воспитанию патронатных детей</t>
  </si>
  <si>
    <t>6410060730</t>
  </si>
  <si>
    <t>Всего по Управлению образования  администрации МО Крымский район</t>
  </si>
  <si>
    <t>ВСЕГО</t>
  </si>
  <si>
    <t>ИТОГО</t>
  </si>
  <si>
    <t>0 7</t>
  </si>
  <si>
    <t>Постановление администрации муниципального образования Крымский район №666 от 18.05.2018 "Об утверждении Положения об оплате труда работников муниципальных учреждений культуры и образовательных учреждений, подведомственных управлению культуры администрации муниципального образования", Решение сессии №271 от 21.12.2022г.</t>
  </si>
  <si>
    <t>1020100590</t>
  </si>
  <si>
    <t>Соглашение о предоставлении субсидии из краевого бюджета муниципального образования Краснодарского края № 03625000-1-2023-004 от 16.01.2023г ./Соглашение о предоставлении субсидии из краевого бюджета муниципального образования Краснодарского края № 03625000-1-2023-009 от 17.02.2023г .</t>
  </si>
  <si>
    <t>102А155190</t>
  </si>
  <si>
    <t>Соглашение № 68 от 27 февраля 2023 года "О предоставлении субвенции из краевого бюджета бюджету муниципального образования Краснодарского края Крымский район на реализацию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населённых пунктах, рабочих поселках (поселках городского типа) на территории Краснодарского края</t>
  </si>
  <si>
    <t>1020260820</t>
  </si>
  <si>
    <t xml:space="preserve">Постановление администрации муниципального образования Крымский район  № 2206 от 19.12.2018 г. "Об утверждении муниципальной программы муниципального 
образования Крымский район «Дети Крымского района»
</t>
  </si>
  <si>
    <t>Постановление администрации муниципального образования Крымский район № 3777 от 16.12.2022 г. "О выплате стипендий администрации муниципального образования Крымский район одаренным детям и подросткам отрасли "Культура" в 2023 году"</t>
  </si>
  <si>
    <t>1010143270</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</si>
  <si>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</si>
  <si>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Постановление администрации муниципального образования Крымский район №666 от 18.05.2018 "Об утверждении Положения об оплате труда работников муниципальных учреждений культуры и образовательных учреждений, подведомственных управлению культуры администрации муниципального образования",  Решению Совета Крымского городского поселения Крымский район № 271 от 21.12.2022 года , Соглашение № б/н от 20.12.2022г "О принятии муниципальным образованием Крымский район в части полномочий по созданию условий для организации досуга и обеспечения жителей Крымского городского поселения Крымского района услугами организаций культуры муниципальному образованию Крымский район на 2023  год"</t>
  </si>
  <si>
    <t>1020200590</t>
  </si>
  <si>
    <t>1020300590</t>
  </si>
  <si>
    <t>Постановление администрации муниципального образования Крымский район№273 от 21.12.2022 "Об утверждении муниципальной программы муниципального образования Крымский район "Развитие культуры", Соглашение о предоставлении субсидии из краевого бюджета муниципального образования Краснодарского края № 123 от 14.02.2020г Комплектование и обеспечение сохранности библиотечных фондов библиотек поселений, межпоселенческих библиотек и библиотек городского округа (МБУ Крымская межпоселенческая районная библиотека).</t>
  </si>
  <si>
    <t>1010109810</t>
  </si>
  <si>
    <t>1020301440</t>
  </si>
  <si>
    <t>10203S2960</t>
  </si>
  <si>
    <t xml:space="preserve">Постановление администрации муниципального образования Крымский район № 3949 от 30.12.2022 г. «Об утверждении муниципальной программы муниципального образования Крымский район «Доступная среда»
</t>
  </si>
  <si>
    <t>0510310050</t>
  </si>
  <si>
    <t>Постановление администрации муниципального образования Крымский район №2351 от 29.12.2017г "Об утверждении муниципальной программы муниципального образования Крымский район "Формирование условий для духовно-нравственного развития граждан»</t>
  </si>
  <si>
    <t>Соглашение о предоставлении иного межбюджетного трансферта, имеющего целевое назначение, из бюджета субъекта Российской Федерации местному бюджету  № 03625000-1-2021-004 от 29.01.2021 года</t>
  </si>
  <si>
    <t>101A154540</t>
  </si>
  <si>
    <t xml:space="preserve">Постановление администрации муниципального образования Крымский район № 3827 от 20.12.2021 г.  "Об утверждении муниципальной программы муниципального 
образования Крымский район «Дети Крымского района»
</t>
  </si>
  <si>
    <t xml:space="preserve">Соглашение № 03625000-1-2023-008 от 08.02.2023 года о предоставлении субсидии из бюджета субъекта Российской Федерации местному бюджету. «Предоставление субсидий местным бюджетам муниципальных образований Краснодарского края в целях софинансирование расходных обязательств муниципальных образований Краснодарского края, возникающих при реализации мероприятий по модернизации библиотек в части комплектования книжных фондов библиотек муниципальных образований Краснодарского края»
</t>
  </si>
  <si>
    <t>10103L5190</t>
  </si>
  <si>
    <t>10103R5190</t>
  </si>
  <si>
    <t>Соглашение № 204-826-2023-03625000-060 от 18 апреля 2023 года "О предоставлении иного межбюджетного трансферта, имеющего целевое назначение, из бюджета Краснодарского края местному бюджету муниципального образования Краснодарского края на иные межбюджетные трансферты на дополнительную помощь местным бюджетам для решения социально значимых вопросы местного значения</t>
  </si>
  <si>
    <t>1020262980</t>
  </si>
  <si>
    <t>Всего по Управлению культуры администрации МО Крымский район</t>
  </si>
  <si>
    <t>Обеспечение условий для развития на территории муниципального района физической культуры, школьного спорта и массового спорта</t>
  </si>
  <si>
    <r>
      <t xml:space="preserve">Постановление администрации муниципального образования Крымский район </t>
    </r>
    <r>
      <rPr>
        <b/>
        <sz val="12"/>
        <rFont val="Times New Roman"/>
        <family val="1"/>
        <charset val="204"/>
      </rPr>
      <t>от 28.12.2016г. № 1282</t>
    </r>
    <r>
      <rPr>
        <sz val="12"/>
        <rFont val="Times New Roman"/>
        <family val="1"/>
        <charset val="204"/>
      </rPr>
      <t xml:space="preserve"> "О переименовании Муниципального бюджетного учреждения "Центр спортивной подготовки "Крымский" муниципального образования Крымский район в Муниципальное бюджетное учреждение "Спортивная школа "Крымская" муниципального образования Крымский район и об утверждении Устава Муниципального бюджетного учреждения "Спортивная школа "Крымская" муниципального образования Крымский район в новой редакции", </t>
    </r>
    <r>
      <rPr>
        <b/>
        <u/>
        <sz val="12"/>
        <rFont val="Times New Roman"/>
        <family val="1"/>
        <charset val="204"/>
      </rPr>
      <t>Соглашение от 26.12.23г. № 100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t>
    </r>
    <r>
      <rPr>
        <sz val="12"/>
        <rFont val="Times New Roman"/>
        <family val="1"/>
        <charset val="204"/>
      </rPr>
      <t xml:space="preserve">Соглашение </t>
    </r>
    <r>
      <rPr>
        <b/>
        <sz val="12"/>
        <rFont val="Times New Roman"/>
        <family val="1"/>
        <charset val="204"/>
      </rPr>
      <t xml:space="preserve">от </t>
    </r>
    <r>
      <rPr>
        <sz val="12"/>
        <rFont val="Times New Roman"/>
        <family val="1"/>
        <charset val="204"/>
      </rPr>
      <t xml:space="preserve">09.01.19г. № 100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Постановление администрации муниципального образования Крымский район </t>
    </r>
    <r>
      <rPr>
        <b/>
        <sz val="12"/>
        <rFont val="Times New Roman"/>
        <family val="1"/>
        <charset val="204"/>
      </rPr>
      <t>от 30.12.2016г. № 1315</t>
    </r>
    <r>
      <rPr>
        <sz val="12"/>
        <rFont val="Times New Roman"/>
        <family val="1"/>
        <charset val="204"/>
      </rPr>
      <t xml:space="preserve"> "О переименовании Муниципального бюджетного учреждения "Центр спортивной подготовки "Витязь" муниципального образования Крымский район в Муниципальное бюджетное учреждение "Спортивная школа "Витязь" муниципального образования Крымский район и утверждении Устава Муниципального бюджетного учреждения "Спортивная школа "Витязь" муниципального образования Крымский район в новой редакции", Соглашение </t>
    </r>
    <r>
      <rPr>
        <b/>
        <sz val="12"/>
        <rFont val="Times New Roman"/>
        <family val="1"/>
        <charset val="204"/>
      </rPr>
      <t xml:space="preserve">от 09.01.19г. № 101 </t>
    </r>
    <r>
      <rPr>
        <sz val="12"/>
        <rFont val="Times New Roman"/>
        <family val="1"/>
        <charset val="204"/>
      </rPr>
      <t xml:space="preserve"> О порядке и условиях предотавления субсидии на финансовое обеспечение выполнения муниципального задания на оказание муниципальных услуг (выполнения работ),</t>
    </r>
    <r>
      <rPr>
        <b/>
        <sz val="12"/>
        <rFont val="Times New Roman"/>
        <family val="1"/>
        <charset val="204"/>
      </rPr>
      <t>Соглашение от 26.12.23 г. № 101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t>
    </r>
  </si>
  <si>
    <t>1220100590</t>
  </si>
  <si>
    <r>
      <t xml:space="preserve">Постановление администрации муниципального образования Крымский район </t>
    </r>
    <r>
      <rPr>
        <b/>
        <sz val="12"/>
        <rFont val="Times New Roman"/>
        <family val="1"/>
        <charset val="204"/>
      </rPr>
      <t>от 30.12.2016г. № 1362</t>
    </r>
    <r>
      <rPr>
        <sz val="12"/>
        <rFont val="Times New Roman"/>
        <family val="1"/>
        <charset val="204"/>
      </rPr>
      <t xml:space="preserve"> "О переименовании Муниципального бюджетного учреждения дополнительного образования детско-юношеской спортивной школы "Ровесник" муниципального образования Крымский район в Муниципальное бюджетное учреждение спортивная школа олимпийского резерва "Ровесник" муниципального образования Крымский район и об утверждении Устава Муниципального бюджетного учреждения спортивная школа олимпийского резерва "Ровесник" муниципального образования Крымский район в новой редакции"</t>
    </r>
    <r>
      <rPr>
        <b/>
        <sz val="12"/>
        <rFont val="Times New Roman"/>
        <family val="1"/>
        <charset val="204"/>
      </rPr>
      <t>.Соглашение от 26</t>
    </r>
    <r>
      <rPr>
        <b/>
        <u/>
        <sz val="12"/>
        <rFont val="Times New Roman"/>
        <family val="1"/>
        <charset val="204"/>
      </rPr>
      <t>.12.23 г. № 98</t>
    </r>
    <r>
      <rPr>
        <b/>
        <sz val="12"/>
        <rFont val="Times New Roman"/>
        <family val="1"/>
        <charset val="204"/>
      </rPr>
      <t xml:space="preserve">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t>
    </r>
    <r>
      <rPr>
        <sz val="12"/>
        <rFont val="Times New Roman"/>
        <family val="1"/>
        <charset val="204"/>
      </rPr>
      <t xml:space="preserve">; ,Соглашение </t>
    </r>
    <r>
      <rPr>
        <b/>
        <sz val="12"/>
        <rFont val="Times New Roman"/>
        <family val="1"/>
        <charset val="204"/>
      </rPr>
      <t xml:space="preserve">от </t>
    </r>
    <r>
      <rPr>
        <sz val="12"/>
        <rFont val="Times New Roman"/>
        <family val="1"/>
        <charset val="204"/>
      </rPr>
      <t>09.01.19г. № 98</t>
    </r>
    <r>
      <rPr>
        <b/>
        <sz val="12"/>
        <rFont val="Times New Roman"/>
        <family val="1"/>
        <charset val="204"/>
      </rPr>
      <t xml:space="preserve"> </t>
    </r>
    <r>
      <rPr>
        <sz val="12"/>
        <rFont val="Times New Roman"/>
        <family val="1"/>
        <charset val="204"/>
      </rPr>
      <t xml:space="preserve">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Постановление администрации муниципального образования Крымский район </t>
    </r>
    <r>
      <rPr>
        <b/>
        <sz val="12"/>
        <rFont val="Times New Roman"/>
        <family val="1"/>
        <charset val="204"/>
      </rPr>
      <t>от 28.12.2016г. № 1285</t>
    </r>
    <r>
      <rPr>
        <sz val="12"/>
        <rFont val="Times New Roman"/>
        <family val="1"/>
        <charset val="204"/>
      </rPr>
      <t xml:space="preserve"> "О переименовании Муниципального бюджетного учреждения дополнительного образования детско-юношеской спортивной школы "Урожай" станицы Варениковской муниципального образования Крымский район в Муниципальное бюджетное учреждение "Спортивная школа "Урожай" станицы Варениковской муниципального образования Крымский район и об утверждении Устава Муниципального бюджетного учреждения "Спортивная школа "Урожай" станицы Варениковской муниципального образования Крымский район в новой редакции", Соглашение от 09.01.19г. № 99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 </t>
    </r>
    <r>
      <rPr>
        <b/>
        <sz val="12"/>
        <rFont val="Times New Roman"/>
        <family val="1"/>
        <charset val="204"/>
      </rPr>
      <t xml:space="preserve"> Соглашение от 26.12.23г. № 99  О порядке и условиях предоставления субсидии на финансовое обеспечение выполнения муниципального задания на оказание муниципальных услуг (выполнения работ),</t>
    </r>
  </si>
  <si>
    <t>1220200590</t>
  </si>
  <si>
    <t>Постановлением администрации муниципального образования Крымский район от 06.08.2013г. № 1505 "О создании Муниципального автономного учреждения спортивный комплекс с плавательным бассейном "Жемчужина"муниципального образования Крымский район"</t>
  </si>
  <si>
    <t>1210300590</t>
  </si>
  <si>
    <t>Постановление администрации муниципального образования Крымский район от 24.04.2020 г. № 844 "Об установлении расходного обязательства в целях обеспечения условий для развития физической культуры и массового спорта в части оплаты труда инструкторов по спорту  на территории  муниципального образования Крымский район"</t>
  </si>
  <si>
    <t>12202S2820</t>
  </si>
  <si>
    <t>Постановлением администрации муниципального образования Крымский район от 13.04.2022г. № 856 "Об установлении расходного обязательства в целях обеспечения условий для развития физической культуры и массового спорта в части приобретения автобусов и микроавтобусов для муниципальных физкультурнр-спортивных организаций отрасли "Физическая культура и спорт" на территории муниципального образования Крымский район"</t>
  </si>
  <si>
    <t>12202S3570</t>
  </si>
  <si>
    <t xml:space="preserve">Соглашение между министерством физической культуры и спорта Краснодарсеого края и муниципальным образованием Крымский район о реализации Закона Краснодарского края от 06.02.2008г. №1376-КЗ </t>
  </si>
  <si>
    <t>1210260740</t>
  </si>
  <si>
    <t>Соглашение № 201-824-2023-03625000-089 от 05.12.2023 г. "О предоставлении субсидии из бюджета Краснодарскому края  бюджету муниципального образования Крымский район ; Постановление администрации муниципального образования Крымский район от 21.12.2023 г. № 001/23 "О передаче полномочий муниципального заказчика при  осуществление бюджетных инвестиций в форме капитальных вложений в обьекты муниципальной собственности за счет средств бюджета  муниципального образования Крымский район"</t>
  </si>
  <si>
    <t>12301S0470</t>
  </si>
  <si>
    <t>Постановление администрации муниципального образования Крымский район от 24.04.2020 г. № 843 "Об установлении расходного обязательства по реализации мероприятий, направленных на развитие детско-юношеского спорта в целях создания условий для подготовки спортивных сборных команд муниципального образования Крымский район и участие в обеспечении подготовки спортивного резерва для спортивных сборных команд Краснодарского края на территории  муниципального образования Крымский район"</t>
  </si>
  <si>
    <t>12201S2690</t>
  </si>
  <si>
    <t>Постановление администрации муниципального образования Крымский район от 06.05.2019 г. № 690 "Об утверждении Порядка расходования субсидий из краевого бюджета на дополнительную помощь местным бюджетам для решения социально значимых вопросов местного значения"</t>
  </si>
  <si>
    <t>1220102980</t>
  </si>
  <si>
    <t>1220262980</t>
  </si>
  <si>
    <t xml:space="preserve">Выполнение работ по обьекту капитального ремонта спортивного зала   "Постановление администрации муниципального образования Крымский район от 31.05.2023 г. № 1655 "О согласовании решения осуществления закупки у единственного поставщика (подрядчика, исполнителя)", </t>
  </si>
  <si>
    <t>12202S0340</t>
  </si>
  <si>
    <t>Постановление администрации муниципального образования Крымский район от 24.04.2020 г. № 845 "Об установлении расходного обязательства, связанного со строительством центра единоборств, предусмотренного подпунктом 1.6.1.7 приложения 3 к государственной программе Краснодарского края "Развитие физической культуры и спорта", на территории муниципального образования Крымский район"</t>
  </si>
  <si>
    <t>12202S2880</t>
  </si>
  <si>
    <t xml:space="preserve"> Постановление администрации муниципального образования Крымский район №3182 от 28.10.2022г. "Об утверждении муниципальной программы муниципального образования Крымский район «Укрепление общественного здоровья» </t>
  </si>
  <si>
    <t>2910011590</t>
  </si>
  <si>
    <t>Постановление администрации муниципального образования Крымский район от 31.12.2019г. № 2814 о внесении изменений в ппостановление админитстрации МО Крымский район "Об утверждении муниципальной программы муниципального образования Крымский район "Развитие физической культуры и спорта"</t>
  </si>
  <si>
    <t>0410109180</t>
  </si>
  <si>
    <t xml:space="preserve">Организация проведения официальных физкультурно-оздоровительных и спортивных мероприятий муниципального района </t>
  </si>
  <si>
    <t>241</t>
  </si>
  <si>
    <t>Постановление администрации муниципального образования Крымский район от 19.12.2018г. № 2206 "Об утверждении муниципальной программы муниципального образования Крымский район "Дети Крымского района на 2020-2024 годы"</t>
  </si>
  <si>
    <t>Всего по Управлению по ФК и спорта администрации МО Крымский район</t>
  </si>
  <si>
    <t>организация и осуществление мероприятий межпоселенческого характера по работе с детьми и молодежью</t>
  </si>
  <si>
    <t xml:space="preserve"> 131-ФЗ от 06.10.03 г.</t>
  </si>
  <si>
    <t>ст.15 п.27</t>
  </si>
  <si>
    <t>1.Устав МО Крымский район, принятый решением Совета МО Крымский район №175 от 26.04.2017г. 2. Положение об отделе по делам молодежи , утвержденное реш.совета №193 от 26.07.2017 г., 3. Положение об оплате труда, утвержденное постановлением администрации МО Крымский район от 22.06.2018 года № 946</t>
  </si>
  <si>
    <t>1. с 26.04.2017г.-не ограничен 2.26.07.2017г.-не ограничен 3. с 1.06.2018 г - не ограничен</t>
  </si>
  <si>
    <t>1.Устав МУ "ЦКСОПМ "Вариант" , утв.пост.главы МО Крымский район от 24.06.09 г. №1882, 2.Согл.№2 от 12.01.2015 г.</t>
  </si>
  <si>
    <t>1.С даты утверждения до внесения изменений, 2.12.01.2015 г.-31.12.2015 г.</t>
  </si>
  <si>
    <t>1510100590</t>
  </si>
  <si>
    <t>1.Устав МКУ "Центр молодежной политики", утв.пост.адм. МО Крымский район №10 от 25.01.16 г.</t>
  </si>
  <si>
    <t>п.п.1.1</t>
  </si>
  <si>
    <t>1.01.01.2016 г.- не ограничен</t>
  </si>
  <si>
    <t>Приказ об утвержд.штатного расписания №5-од от 09.01.23 г.</t>
  </si>
  <si>
    <t>09.01.23г.-31.12.23г.</t>
  </si>
  <si>
    <t>Распоряжение рук-ля</t>
  </si>
  <si>
    <t>09.01.21г.-31.12.23г.</t>
  </si>
  <si>
    <t>Муниципальные контракты на 2023 год</t>
  </si>
  <si>
    <t>с даты заключения - 31.12.23 г.</t>
  </si>
  <si>
    <t>Пособия, компенсации и иные социальные выплаты</t>
  </si>
  <si>
    <t xml:space="preserve"> с 01.01.20 - не ограничен</t>
  </si>
  <si>
    <t>1516022</t>
  </si>
  <si>
    <t>Постановление №1964 от 19.11.2018 г.  «Об утверждении муниципальной программы муниципального образования Крымский район «Молодёжь Крымского района» (с изменениями и дополнениями), от 29.07.2022 № 2086 (на 2025-2029гг)</t>
  </si>
  <si>
    <t>1. С даты подписания по 31.12.2024 г.</t>
  </si>
  <si>
    <t>1510110900</t>
  </si>
  <si>
    <t>Муниципальные контракты на окозание услуг</t>
  </si>
  <si>
    <t xml:space="preserve">1. С даты подписания по 31.12.23 г., 2. с даты подписания по 31.12.23 г. </t>
  </si>
  <si>
    <t>Согл.№3 от 10.07.15 г.</t>
  </si>
  <si>
    <t>С даты подписания по 31.12.2015 г.</t>
  </si>
  <si>
    <t>1.Решение сессии Совета МО Крымский район №454 от 17.12.14 г., 2.Согл.№1 от 12.01.2015 г.</t>
  </si>
  <si>
    <t>1. 01.01.15-31.12.15 ,2. 12.01.15 г.по 31.12.2015 г.</t>
  </si>
  <si>
    <t>1516522</t>
  </si>
  <si>
    <t xml:space="preserve">Муниципальная программа муниципального образования Крымский район "Укрепление общественного здоровья" </t>
  </si>
  <si>
    <t>Постановление администрации муниципального образования Крымский район №850 от 19.09.2016 г. «Об утверждении муниципальной программы « Противодействие незаконному обороту наркотиков» 
Постановление №166 от 21.02.2017 г. «О внесении изменений в постановление администрации муниципального образования Крымский районот 19.09.2016 г.№855 «Об утверждении муниципальной программы муниципального образования Крымский район « Противодействие незаконному обороту наркотиков»
, приказы руководителя на проведение мероприятий</t>
  </si>
  <si>
    <t>С 01.01.2017 г.-31.12.2019 г.</t>
  </si>
  <si>
    <t>0709</t>
  </si>
  <si>
    <t>2110010120</t>
  </si>
  <si>
    <t>Постановление от 28.10.2022 года № 3182</t>
  </si>
  <si>
    <t>1. С даты подписания по 31.12.2027 г.</t>
  </si>
  <si>
    <t xml:space="preserve">Муниципальная программа муниципального образования Крымский район "Дети Крымского района" </t>
  </si>
  <si>
    <t>Постановление администрации муниципального образования Крымский район от 19.12.2018 года № 2206  (с измененями и дополнениями), от 29.07.2022 № 2156 (на 2025-2029 гг)</t>
  </si>
  <si>
    <t>С даты подписания по 31.12.2024г</t>
  </si>
  <si>
    <t>Всего по Отделу молодежи администрации МО Крымский район</t>
  </si>
  <si>
    <t>Всего расходных обязательств по муниципальному образованию Крымский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</si>
</sst>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_-* #,##0.00_р_._-;\-* #,##0.00_р_._-;_-* &quot;-&quot;??_р_._-;_-@_-"/>
    <numFmt numFmtId="165" formatCode="#,##0.0"/>
    <numFmt numFmtId="166" formatCode="0.0"/>
    <numFmt numFmtId="167" formatCode="000000"/>
    <numFmt numFmtId="168" formatCode="000\.00\.000\.0"/>
  </numFmts>
  <fonts count="70" x14ac:knownFonts="1">
    <font>
      <sz val="11"/>
      <color theme="1"/>
      <name val="Calibri"/>
      <family val="2"/>
      <scheme val="minor"/>
    </font>
    <font>
      <sz val="10"/>
      <name val="Times New Roman"/>
      <family val="1"/>
      <charset val="204"/>
    </font>
    <font>
      <sz val="11"/>
      <color theme="1"/>
      <name val="Calibri"/>
      <family val="2"/>
      <scheme val="minor"/>
    </font>
    <font>
      <sz val="10"/>
      <name val="Bookman Old Style"/>
      <family val="1"/>
      <charset val="204"/>
    </font>
    <font>
      <b/>
      <sz val="18"/>
      <name val="Times New Roman"/>
      <family val="1"/>
      <charset val="204"/>
    </font>
    <font>
      <b/>
      <sz val="16"/>
      <name val="Times New Roman"/>
      <family val="1"/>
      <charset val="204"/>
    </font>
    <font>
      <sz val="11"/>
      <name val="Times New Roman"/>
      <family val="1"/>
      <charset val="204"/>
    </font>
    <font>
      <sz val="11"/>
      <name val="Times New Roman Cyr"/>
      <family val="1"/>
      <charset val="204"/>
    </font>
    <font>
      <sz val="11"/>
      <name val="Arial Cyr"/>
      <charset val="204"/>
    </font>
    <font>
      <b/>
      <sz val="11"/>
      <name val="Times New Roman"/>
      <family val="1"/>
      <charset val="204"/>
    </font>
    <font>
      <b/>
      <i/>
      <sz val="11"/>
      <name val="Bookman Old Style"/>
      <family val="1"/>
      <charset val="204"/>
    </font>
    <font>
      <b/>
      <sz val="10"/>
      <name val="Bookman Old Style"/>
      <family val="1"/>
      <charset val="204"/>
    </font>
    <font>
      <b/>
      <i/>
      <sz val="11"/>
      <name val="Times New Roman"/>
      <family val="1"/>
      <charset val="204"/>
    </font>
    <font>
      <sz val="11"/>
      <color rgb="FFFF0000"/>
      <name val="Times New Roman"/>
      <family val="1"/>
      <charset val="204"/>
    </font>
    <font>
      <b/>
      <i/>
      <sz val="10"/>
      <name val="Bookman Old Style"/>
      <family val="1"/>
      <charset val="204"/>
    </font>
    <font>
      <b/>
      <sz val="12"/>
      <name val="Times New Roman"/>
      <family val="1"/>
      <charset val="204"/>
    </font>
    <font>
      <sz val="11"/>
      <color theme="1"/>
      <name val="Times New Roman"/>
      <family val="1"/>
      <charset val="204"/>
    </font>
    <font>
      <sz val="11"/>
      <color theme="2" tint="-0.499984740745262"/>
      <name val="Times New Roman"/>
      <family val="1"/>
      <charset val="204"/>
    </font>
    <font>
      <sz val="10"/>
      <name val="Arial"/>
      <family val="2"/>
      <charset val="204"/>
    </font>
    <font>
      <b/>
      <sz val="11"/>
      <name val="Arial Cyr"/>
      <charset val="204"/>
    </font>
    <font>
      <b/>
      <sz val="11"/>
      <color rgb="FFFF0000"/>
      <name val="Times New Roman"/>
      <family val="1"/>
      <charset val="204"/>
    </font>
    <font>
      <b/>
      <sz val="14"/>
      <name val="Times New Roman"/>
      <family val="1"/>
      <charset val="204"/>
    </font>
    <font>
      <b/>
      <i/>
      <sz val="12"/>
      <name val="Times New Roman"/>
      <family val="1"/>
      <charset val="204"/>
    </font>
    <font>
      <b/>
      <sz val="8"/>
      <name val="Bookman Old Style"/>
      <family val="1"/>
      <charset val="204"/>
    </font>
    <font>
      <b/>
      <sz val="9"/>
      <name val="Bookman Old Style"/>
      <family val="1"/>
      <charset val="204"/>
    </font>
    <font>
      <b/>
      <sz val="10"/>
      <name val="Times New Roman"/>
      <family val="1"/>
      <charset val="204"/>
    </font>
    <font>
      <b/>
      <i/>
      <sz val="8"/>
      <name val="Bookman Old Style"/>
      <family val="1"/>
      <charset val="204"/>
    </font>
    <font>
      <b/>
      <i/>
      <sz val="9"/>
      <name val="Bookman Old Style"/>
      <family val="1"/>
      <charset val="204"/>
    </font>
    <font>
      <b/>
      <i/>
      <sz val="10"/>
      <name val="Times New Roman"/>
      <family val="1"/>
      <charset val="204"/>
    </font>
    <font>
      <sz val="8"/>
      <name val="Bookman Old Style"/>
      <family val="1"/>
      <charset val="204"/>
    </font>
    <font>
      <sz val="9"/>
      <name val="Bookman Old Style"/>
      <family val="1"/>
      <charset val="204"/>
    </font>
    <font>
      <b/>
      <i/>
      <sz val="8"/>
      <name val="Times New Roman"/>
      <family val="1"/>
      <charset val="204"/>
    </font>
    <font>
      <i/>
      <sz val="10"/>
      <name val="Bookman Old Style"/>
      <family val="1"/>
      <charset val="204"/>
    </font>
    <font>
      <i/>
      <sz val="10"/>
      <name val="Times New Roman"/>
      <family val="1"/>
      <charset val="204"/>
    </font>
    <font>
      <b/>
      <sz val="12"/>
      <name val="Bookman Old Style"/>
      <family val="1"/>
      <charset val="204"/>
    </font>
    <font>
      <b/>
      <i/>
      <sz val="14"/>
      <name val="Times New Roman"/>
      <family val="1"/>
      <charset val="204"/>
    </font>
    <font>
      <b/>
      <sz val="12"/>
      <color rgb="FFFF0000"/>
      <name val="Times New Roman"/>
      <family val="1"/>
      <charset val="204"/>
    </font>
    <font>
      <sz val="8"/>
      <name val="Times New Roman"/>
      <family val="1"/>
      <charset val="204"/>
    </font>
    <font>
      <sz val="9"/>
      <name val="Times New Roman"/>
      <family val="1"/>
      <charset val="204"/>
    </font>
    <font>
      <sz val="12"/>
      <name val="Times New Roman"/>
      <family val="1"/>
      <charset val="204"/>
    </font>
    <font>
      <sz val="8"/>
      <color rgb="FFFF0000"/>
      <name val="Times New Roman"/>
      <family val="1"/>
      <charset val="204"/>
    </font>
    <font>
      <sz val="12"/>
      <color rgb="FFFF0000"/>
      <name val="Times New Roman"/>
      <family val="1"/>
      <charset val="204"/>
    </font>
    <font>
      <b/>
      <sz val="8"/>
      <name val="Times New Roman"/>
      <family val="1"/>
      <charset val="204"/>
    </font>
    <font>
      <b/>
      <i/>
      <sz val="9"/>
      <name val="Times New Roman"/>
      <family val="1"/>
      <charset val="204"/>
    </font>
    <font>
      <b/>
      <sz val="9"/>
      <name val="Times New Roman"/>
      <family val="1"/>
      <charset val="204"/>
    </font>
    <font>
      <b/>
      <sz val="9"/>
      <color rgb="FFFF0000"/>
      <name val="Times New Roman"/>
      <family val="1"/>
      <charset val="204"/>
    </font>
    <font>
      <b/>
      <sz val="11"/>
      <name val="Bookman Old Style"/>
      <family val="1"/>
      <charset val="204"/>
    </font>
    <font>
      <b/>
      <i/>
      <sz val="12"/>
      <name val="Bookman Old Style"/>
      <family val="1"/>
      <charset val="204"/>
    </font>
    <font>
      <sz val="6.5"/>
      <name val="Times New Roman"/>
      <family val="1"/>
      <charset val="204"/>
    </font>
    <font>
      <sz val="14"/>
      <name val="Times New Roman"/>
      <family val="1"/>
      <charset val="204"/>
    </font>
    <font>
      <sz val="6"/>
      <name val="Times New Roman"/>
      <family val="1"/>
      <charset val="204"/>
    </font>
    <font>
      <sz val="11"/>
      <name val="Bookman Old Style"/>
      <family val="1"/>
      <charset val="204"/>
    </font>
    <font>
      <sz val="12"/>
      <name val="Arial Cyr"/>
      <charset val="204"/>
    </font>
    <font>
      <b/>
      <sz val="14"/>
      <name val="Bookman Old Style"/>
      <family val="1"/>
      <charset val="204"/>
    </font>
    <font>
      <b/>
      <u/>
      <sz val="12"/>
      <name val="Times New Roman"/>
      <family val="1"/>
      <charset val="204"/>
    </font>
    <font>
      <b/>
      <sz val="12"/>
      <name val="Arial Cyr"/>
      <charset val="204"/>
    </font>
    <font>
      <b/>
      <sz val="10"/>
      <name val="ITC Bookman Light"/>
      <family val="1"/>
    </font>
    <font>
      <sz val="15"/>
      <name val="Arial Cyr"/>
      <charset val="204"/>
    </font>
    <font>
      <b/>
      <sz val="15"/>
      <name val="Times New Roman"/>
      <family val="1"/>
      <charset val="204"/>
    </font>
    <font>
      <b/>
      <i/>
      <sz val="15"/>
      <name val="Times New Roman"/>
      <family val="1"/>
      <charset val="204"/>
    </font>
    <font>
      <sz val="15"/>
      <name val="Times New Roman"/>
      <family val="1"/>
      <charset val="204"/>
    </font>
    <font>
      <sz val="15"/>
      <name val="Bookman Old Style"/>
      <family val="1"/>
      <charset val="204"/>
    </font>
    <font>
      <b/>
      <sz val="9"/>
      <color theme="1"/>
      <name val="Times New Roman"/>
      <family val="1"/>
      <charset val="204"/>
    </font>
    <font>
      <b/>
      <i/>
      <sz val="9"/>
      <color rgb="FFFF0000"/>
      <name val="Times New Roman"/>
      <family val="1"/>
      <charset val="204"/>
    </font>
    <font>
      <b/>
      <i/>
      <sz val="9"/>
      <color theme="1"/>
      <name val="Times New Roman"/>
      <family val="1"/>
      <charset val="204"/>
    </font>
    <font>
      <sz val="9"/>
      <color theme="1"/>
      <name val="Times New Roman"/>
      <family val="1"/>
      <charset val="204"/>
    </font>
    <font>
      <b/>
      <sz val="10"/>
      <color indexed="10"/>
      <name val="Bookman Old Style"/>
      <family val="1"/>
      <charset val="204"/>
    </font>
    <font>
      <b/>
      <i/>
      <sz val="10"/>
      <color indexed="10"/>
      <name val="Bookman Old Style"/>
      <family val="1"/>
      <charset val="204"/>
    </font>
    <font>
      <sz val="10"/>
      <color theme="1"/>
      <name val="Times New Roman"/>
      <family val="1"/>
      <charset val="204"/>
    </font>
    <font>
      <b/>
      <sz val="12"/>
      <color theme="1"/>
      <name val="Times New Roman"/>
      <family val="1"/>
      <charset val="204"/>
    </font>
  </fonts>
  <fills count="13">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2" tint="-9.9978637043366805E-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6">
    <xf numFmtId="0" fontId="0" fillId="0" borderId="0"/>
    <xf numFmtId="164" fontId="2" fillId="0" borderId="0" applyFont="0" applyFill="0" applyBorder="0" applyAlignment="0" applyProtection="0"/>
    <xf numFmtId="44" fontId="2" fillId="0" borderId="0" applyFont="0" applyFill="0" applyBorder="0" applyAlignment="0" applyProtection="0"/>
    <xf numFmtId="0" fontId="18" fillId="0" borderId="0"/>
    <xf numFmtId="0" fontId="18" fillId="0" borderId="0"/>
    <xf numFmtId="9" fontId="2" fillId="0" borderId="0" applyFont="0" applyFill="0" applyBorder="0" applyAlignment="0" applyProtection="0"/>
  </cellStyleXfs>
  <cellXfs count="889">
    <xf numFmtId="0" fontId="0" fillId="0" borderId="0" xfId="0"/>
    <xf numFmtId="0" fontId="3" fillId="0" borderId="0" xfId="0" applyFont="1"/>
    <xf numFmtId="0" fontId="1" fillId="0" borderId="0" xfId="0" applyFont="1" applyAlignment="1">
      <alignment vertical="justify"/>
    </xf>
    <xf numFmtId="49" fontId="1" fillId="0" borderId="0" xfId="0" applyNumberFormat="1" applyFont="1" applyAlignment="1">
      <alignment vertical="justify"/>
    </xf>
    <xf numFmtId="49" fontId="1" fillId="0" borderId="0" xfId="0" applyNumberFormat="1" applyFont="1"/>
    <xf numFmtId="49" fontId="1" fillId="0" borderId="0" xfId="0" applyNumberFormat="1" applyFont="1" applyFill="1"/>
    <xf numFmtId="2" fontId="1" fillId="0" borderId="0" xfId="0" applyNumberFormat="1" applyFont="1" applyFill="1" applyAlignment="1">
      <alignment horizontal="right"/>
    </xf>
    <xf numFmtId="2" fontId="1" fillId="0" borderId="0" xfId="0" applyNumberFormat="1" applyFont="1" applyAlignment="1">
      <alignment horizontal="right"/>
    </xf>
    <xf numFmtId="0" fontId="1" fillId="0" borderId="2" xfId="0" applyFont="1" applyFill="1" applyBorder="1" applyAlignment="1">
      <alignment horizontal="center"/>
    </xf>
    <xf numFmtId="0" fontId="1" fillId="0" borderId="2" xfId="0" applyFont="1" applyFill="1" applyBorder="1" applyAlignment="1">
      <alignment horizontal="center" vertical="justify"/>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9" fillId="0" borderId="0" xfId="0" applyFont="1" applyFill="1" applyBorder="1" applyAlignment="1">
      <alignment wrapText="1" shrinkToFit="1"/>
    </xf>
    <xf numFmtId="0" fontId="10" fillId="0" borderId="0" xfId="0" applyFont="1" applyBorder="1"/>
    <xf numFmtId="0" fontId="10" fillId="0" borderId="0" xfId="0" applyFont="1"/>
    <xf numFmtId="49" fontId="6" fillId="0" borderId="2" xfId="0" applyNumberFormat="1" applyFont="1" applyBorder="1" applyAlignment="1">
      <alignment vertical="top" wrapText="1"/>
    </xf>
    <xf numFmtId="49" fontId="6" fillId="0" borderId="2" xfId="0" applyNumberFormat="1" applyFont="1" applyBorder="1" applyAlignment="1">
      <alignment horizontal="left" vertical="top" wrapText="1"/>
    </xf>
    <xf numFmtId="49" fontId="9" fillId="0" borderId="2" xfId="0" applyNumberFormat="1" applyFont="1" applyFill="1" applyBorder="1"/>
    <xf numFmtId="0" fontId="11" fillId="0" borderId="0" xfId="0" applyFont="1"/>
    <xf numFmtId="49" fontId="9" fillId="0" borderId="2" xfId="0" applyNumberFormat="1" applyFont="1" applyFill="1" applyBorder="1" applyAlignment="1">
      <alignment vertical="top" wrapText="1"/>
    </xf>
    <xf numFmtId="0" fontId="11" fillId="0" borderId="0" xfId="0" applyFont="1" applyFill="1"/>
    <xf numFmtId="0" fontId="6" fillId="0" borderId="3" xfId="0" applyNumberFormat="1" applyFont="1" applyFill="1" applyBorder="1" applyAlignment="1">
      <alignment vertical="justify" wrapText="1"/>
    </xf>
    <xf numFmtId="49" fontId="13" fillId="0" borderId="3" xfId="0" applyNumberFormat="1" applyFont="1" applyFill="1" applyBorder="1" applyAlignment="1">
      <alignment horizontal="center"/>
    </xf>
    <xf numFmtId="0" fontId="6" fillId="0" borderId="3" xfId="0" applyNumberFormat="1" applyFont="1" applyFill="1" applyBorder="1" applyAlignment="1">
      <alignment vertical="top" wrapText="1"/>
    </xf>
    <xf numFmtId="49" fontId="12" fillId="0" borderId="3" xfId="0" applyNumberFormat="1" applyFont="1" applyFill="1" applyBorder="1" applyAlignment="1">
      <alignment vertical="top"/>
    </xf>
    <xf numFmtId="49" fontId="13" fillId="0" borderId="2" xfId="0" applyNumberFormat="1" applyFont="1" applyFill="1" applyBorder="1" applyAlignment="1">
      <alignment horizontal="center"/>
    </xf>
    <xf numFmtId="0" fontId="6" fillId="0" borderId="2" xfId="0" applyNumberFormat="1" applyFont="1" applyFill="1" applyBorder="1" applyAlignment="1">
      <alignment vertical="top" wrapText="1"/>
    </xf>
    <xf numFmtId="49" fontId="12" fillId="0" borderId="2" xfId="0" applyNumberFormat="1" applyFont="1" applyFill="1" applyBorder="1" applyAlignment="1">
      <alignment vertical="top"/>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center" wrapText="1"/>
    </xf>
    <xf numFmtId="49" fontId="6" fillId="0" borderId="2" xfId="0" applyNumberFormat="1" applyFont="1" applyFill="1" applyBorder="1" applyAlignment="1">
      <alignment vertical="top"/>
    </xf>
    <xf numFmtId="0" fontId="14" fillId="0" borderId="0" xfId="0" applyFont="1" applyFill="1"/>
    <xf numFmtId="49" fontId="6" fillId="0" borderId="2" xfId="0" applyNumberFormat="1" applyFont="1" applyFill="1" applyBorder="1" applyAlignment="1">
      <alignment horizontal="left" vertical="top" wrapText="1"/>
    </xf>
    <xf numFmtId="49" fontId="12" fillId="4" borderId="3" xfId="0" applyNumberFormat="1" applyFont="1" applyFill="1" applyBorder="1" applyAlignment="1">
      <alignment vertical="top" wrapText="1"/>
    </xf>
    <xf numFmtId="0" fontId="11" fillId="4" borderId="0" xfId="0" applyFont="1" applyFill="1"/>
    <xf numFmtId="0" fontId="1" fillId="0" borderId="0" xfId="0" applyFont="1" applyAlignment="1">
      <alignment horizontal="center" vertical="center"/>
    </xf>
    <xf numFmtId="0" fontId="3" fillId="0" borderId="0" xfId="0" applyFont="1" applyAlignment="1">
      <alignment horizontal="center" vertical="center"/>
    </xf>
    <xf numFmtId="0" fontId="11" fillId="0" borderId="0" xfId="0" applyFont="1" applyFill="1" applyAlignment="1">
      <alignment wrapText="1"/>
    </xf>
    <xf numFmtId="165" fontId="9" fillId="0" borderId="2" xfId="0" applyNumberFormat="1" applyFont="1" applyBorder="1" applyAlignment="1">
      <alignment horizontal="right" vertical="top" wrapText="1"/>
    </xf>
    <xf numFmtId="165" fontId="9" fillId="0" borderId="2" xfId="0" applyNumberFormat="1" applyFont="1" applyFill="1" applyBorder="1" applyAlignment="1">
      <alignment horizontal="right" vertical="top" wrapText="1"/>
    </xf>
    <xf numFmtId="165" fontId="12" fillId="4" borderId="3" xfId="0" applyNumberFormat="1" applyFont="1" applyFill="1" applyBorder="1" applyAlignment="1">
      <alignment horizontal="right" vertical="top" wrapText="1"/>
    </xf>
    <xf numFmtId="165" fontId="12" fillId="0" borderId="3" xfId="0" applyNumberFormat="1" applyFont="1" applyFill="1" applyBorder="1" applyAlignment="1">
      <alignment horizontal="right" vertical="top" wrapText="1"/>
    </xf>
    <xf numFmtId="165" fontId="12" fillId="0" borderId="3" xfId="0" applyNumberFormat="1" applyFont="1" applyBorder="1" applyAlignment="1">
      <alignment horizontal="right" vertical="top" wrapText="1"/>
    </xf>
    <xf numFmtId="165" fontId="12" fillId="0" borderId="2" xfId="0" applyNumberFormat="1" applyFont="1" applyFill="1" applyBorder="1" applyAlignment="1">
      <alignment horizontal="right" vertical="top" wrapText="1"/>
    </xf>
    <xf numFmtId="165" fontId="12" fillId="0" borderId="2" xfId="0" applyNumberFormat="1" applyFont="1" applyBorder="1" applyAlignment="1">
      <alignment horizontal="right" vertical="top" wrapText="1"/>
    </xf>
    <xf numFmtId="165" fontId="6" fillId="0" borderId="2" xfId="0" applyNumberFormat="1" applyFont="1" applyFill="1" applyBorder="1" applyAlignment="1">
      <alignment horizontal="right" vertical="top" wrapText="1"/>
    </xf>
    <xf numFmtId="0" fontId="6" fillId="0" borderId="3" xfId="0" applyNumberFormat="1" applyFont="1" applyFill="1" applyBorder="1" applyAlignment="1">
      <alignment horizontal="left" vertical="top" wrapText="1"/>
    </xf>
    <xf numFmtId="165" fontId="11" fillId="0" borderId="0" xfId="0" applyNumberFormat="1" applyFont="1" applyFill="1"/>
    <xf numFmtId="0" fontId="9" fillId="2" borderId="7" xfId="0" applyFont="1" applyFill="1" applyBorder="1" applyAlignment="1">
      <alignment horizontal="center" vertical="center" wrapText="1"/>
    </xf>
    <xf numFmtId="165" fontId="9" fillId="2" borderId="2" xfId="0" applyNumberFormat="1" applyFont="1" applyFill="1" applyBorder="1" applyAlignment="1">
      <alignment horizontal="right" vertical="center" wrapText="1"/>
    </xf>
    <xf numFmtId="0" fontId="9" fillId="0" borderId="0" xfId="0" applyFont="1" applyFill="1" applyBorder="1" applyAlignment="1">
      <alignment vertical="center" wrapText="1" shrinkToFit="1"/>
    </xf>
    <xf numFmtId="0" fontId="9" fillId="0" borderId="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Alignment="1">
      <alignment vertical="center"/>
    </xf>
    <xf numFmtId="165" fontId="9" fillId="0" borderId="0" xfId="0" applyNumberFormat="1" applyFont="1" applyFill="1" applyBorder="1" applyAlignment="1">
      <alignment vertical="center" wrapText="1" shrinkToFit="1"/>
    </xf>
    <xf numFmtId="49" fontId="6" fillId="0" borderId="2" xfId="0" applyNumberFormat="1" applyFont="1" applyFill="1" applyBorder="1" applyAlignment="1">
      <alignment horizontal="center" vertical="center" wrapText="1"/>
    </xf>
    <xf numFmtId="0" fontId="15" fillId="2" borderId="2" xfId="0" applyFont="1" applyFill="1" applyBorder="1" applyAlignment="1">
      <alignment wrapText="1"/>
    </xf>
    <xf numFmtId="0" fontId="9" fillId="5" borderId="7" xfId="0" applyFont="1" applyFill="1" applyBorder="1" applyAlignment="1">
      <alignment horizontal="center" vertical="top" wrapText="1"/>
    </xf>
    <xf numFmtId="165" fontId="9" fillId="5" borderId="2" xfId="0" applyNumberFormat="1" applyFont="1" applyFill="1" applyBorder="1" applyAlignment="1">
      <alignment horizontal="right" vertical="center" wrapText="1"/>
    </xf>
    <xf numFmtId="165" fontId="9" fillId="0" borderId="0" xfId="0" applyNumberFormat="1" applyFont="1" applyFill="1"/>
    <xf numFmtId="0" fontId="9" fillId="0" borderId="0" xfId="0" applyFont="1" applyFill="1"/>
    <xf numFmtId="0" fontId="12" fillId="0" borderId="0" xfId="0" applyFont="1"/>
    <xf numFmtId="0" fontId="12" fillId="0" borderId="0" xfId="0" applyFont="1" applyFill="1"/>
    <xf numFmtId="0" fontId="9" fillId="5" borderId="2" xfId="0" applyFont="1" applyFill="1" applyBorder="1" applyAlignment="1">
      <alignment horizontal="center" vertical="top" wrapText="1"/>
    </xf>
    <xf numFmtId="165" fontId="9" fillId="5" borderId="2" xfId="0" applyNumberFormat="1" applyFont="1" applyFill="1" applyBorder="1" applyAlignment="1">
      <alignment horizontal="right"/>
    </xf>
    <xf numFmtId="0" fontId="9" fillId="5" borderId="0" xfId="0" applyFont="1" applyFill="1"/>
    <xf numFmtId="0" fontId="9" fillId="0" borderId="2" xfId="0" applyFont="1" applyBorder="1" applyAlignment="1">
      <alignment horizontal="center" vertical="top" wrapText="1"/>
    </xf>
    <xf numFmtId="0" fontId="9" fillId="2" borderId="0" xfId="0" applyFont="1" applyFill="1"/>
    <xf numFmtId="49" fontId="9" fillId="0" borderId="2" xfId="0" applyNumberFormat="1" applyFont="1" applyFill="1" applyBorder="1" applyAlignment="1">
      <alignment horizontal="center" vertical="top" wrapText="1"/>
    </xf>
    <xf numFmtId="49" fontId="9" fillId="0" borderId="2" xfId="0" applyNumberFormat="1" applyFont="1" applyFill="1" applyBorder="1" applyAlignment="1">
      <alignment horizontal="left" vertical="top" wrapText="1"/>
    </xf>
    <xf numFmtId="49" fontId="9" fillId="0" borderId="2" xfId="0" applyNumberFormat="1" applyFont="1" applyFill="1" applyBorder="1" applyAlignment="1">
      <alignment horizontal="center" vertical="top"/>
    </xf>
    <xf numFmtId="165" fontId="9" fillId="0" borderId="2" xfId="0" applyNumberFormat="1" applyFont="1" applyFill="1" applyBorder="1" applyAlignment="1">
      <alignment horizontal="center" vertical="top" wrapText="1"/>
    </xf>
    <xf numFmtId="165" fontId="9" fillId="0" borderId="0" xfId="0" applyNumberFormat="1" applyFont="1"/>
    <xf numFmtId="0" fontId="9" fillId="0" borderId="0" xfId="0" applyFont="1"/>
    <xf numFmtId="49" fontId="6" fillId="0" borderId="3" xfId="0" applyNumberFormat="1" applyFont="1" applyFill="1" applyBorder="1" applyAlignment="1">
      <alignment vertical="top" wrapText="1"/>
    </xf>
    <xf numFmtId="49" fontId="6" fillId="0" borderId="2" xfId="0" applyNumberFormat="1" applyFont="1" applyFill="1" applyBorder="1" applyAlignment="1">
      <alignment horizontal="center" vertical="top"/>
    </xf>
    <xf numFmtId="165" fontId="6" fillId="4" borderId="2" xfId="0" applyNumberFormat="1" applyFont="1" applyFill="1" applyBorder="1" applyAlignment="1">
      <alignment horizontal="center" vertical="top" wrapText="1"/>
    </xf>
    <xf numFmtId="165" fontId="6" fillId="0" borderId="2" xfId="0"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165" fontId="9" fillId="4" borderId="2"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xf>
    <xf numFmtId="49" fontId="6" fillId="0" borderId="2" xfId="0" applyNumberFormat="1" applyFont="1" applyFill="1" applyBorder="1" applyAlignment="1">
      <alignment vertical="center"/>
    </xf>
    <xf numFmtId="49" fontId="6" fillId="0" borderId="2" xfId="0" applyNumberFormat="1" applyFont="1" applyFill="1" applyBorder="1"/>
    <xf numFmtId="49" fontId="6" fillId="0" borderId="2" xfId="0" applyNumberFormat="1" applyFont="1" applyFill="1" applyBorder="1" applyAlignment="1">
      <alignment wrapText="1"/>
    </xf>
    <xf numFmtId="49" fontId="6" fillId="4" borderId="2" xfId="0" applyNumberFormat="1" applyFont="1" applyFill="1" applyBorder="1" applyAlignment="1">
      <alignment vertical="justify"/>
    </xf>
    <xf numFmtId="49" fontId="6" fillId="0" borderId="2" xfId="0" applyNumberFormat="1" applyFont="1" applyFill="1" applyBorder="1" applyAlignment="1">
      <alignment horizontal="center" wrapText="1"/>
    </xf>
    <xf numFmtId="0" fontId="6" fillId="0" borderId="0" xfId="0" applyFont="1" applyFill="1" applyAlignment="1">
      <alignment vertical="top"/>
    </xf>
    <xf numFmtId="0" fontId="16" fillId="0" borderId="2" xfId="2" applyNumberFormat="1" applyFont="1" applyFill="1" applyBorder="1" applyAlignment="1">
      <alignment horizontal="left" vertical="top" wrapText="1"/>
    </xf>
    <xf numFmtId="49" fontId="17" fillId="0" borderId="2" xfId="0" applyNumberFormat="1" applyFont="1" applyFill="1" applyBorder="1" applyAlignment="1">
      <alignment horizontal="center" vertical="center" wrapText="1"/>
    </xf>
    <xf numFmtId="166" fontId="6" fillId="4" borderId="2" xfId="0" applyNumberFormat="1" applyFont="1" applyFill="1" applyBorder="1" applyAlignment="1">
      <alignment horizontal="center" vertical="top" wrapText="1"/>
    </xf>
    <xf numFmtId="166"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vertical="justify"/>
    </xf>
    <xf numFmtId="167" fontId="9" fillId="0" borderId="2" xfId="0" applyNumberFormat="1" applyFont="1" applyFill="1" applyBorder="1" applyAlignment="1">
      <alignment vertical="justify"/>
    </xf>
    <xf numFmtId="0" fontId="9" fillId="0" borderId="2" xfId="3" applyNumberFormat="1" applyFont="1" applyFill="1" applyBorder="1" applyAlignment="1" applyProtection="1">
      <alignment horizontal="left" vertical="top" wrapText="1"/>
      <protection hidden="1"/>
    </xf>
    <xf numFmtId="166" fontId="6" fillId="0" borderId="0" xfId="0" applyNumberFormat="1" applyFont="1" applyBorder="1" applyAlignment="1">
      <alignment horizontal="right" vertical="top" wrapText="1"/>
    </xf>
    <xf numFmtId="166" fontId="9" fillId="0" borderId="0" xfId="0" applyNumberFormat="1" applyFont="1" applyFill="1"/>
    <xf numFmtId="2" fontId="6" fillId="0" borderId="0" xfId="0" applyNumberFormat="1" applyFont="1" applyBorder="1" applyAlignment="1">
      <alignment horizontal="right" vertical="top" wrapText="1"/>
    </xf>
    <xf numFmtId="0" fontId="9"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top" wrapText="1"/>
    </xf>
    <xf numFmtId="49" fontId="9" fillId="0" borderId="0" xfId="0" applyNumberFormat="1" applyFont="1" applyFill="1"/>
    <xf numFmtId="4" fontId="9" fillId="0" borderId="0" xfId="0" applyNumberFormat="1" applyFont="1" applyFill="1"/>
    <xf numFmtId="0" fontId="9" fillId="0" borderId="2" xfId="0" applyNumberFormat="1" applyFont="1" applyFill="1" applyBorder="1" applyAlignment="1">
      <alignment vertical="justify"/>
    </xf>
    <xf numFmtId="165" fontId="6" fillId="4" borderId="2" xfId="0" applyNumberFormat="1" applyFont="1" applyFill="1" applyBorder="1" applyAlignment="1">
      <alignment horizontal="center" vertical="top"/>
    </xf>
    <xf numFmtId="165" fontId="6" fillId="0" borderId="2" xfId="0" applyNumberFormat="1" applyFont="1" applyFill="1" applyBorder="1" applyAlignment="1">
      <alignment horizontal="center" vertical="top"/>
    </xf>
    <xf numFmtId="166" fontId="6" fillId="4" borderId="2" xfId="0" applyNumberFormat="1" applyFont="1" applyFill="1" applyBorder="1" applyAlignment="1">
      <alignment horizontal="center" vertical="top"/>
    </xf>
    <xf numFmtId="166" fontId="6" fillId="0" borderId="2" xfId="0" applyNumberFormat="1" applyFont="1" applyFill="1" applyBorder="1" applyAlignment="1">
      <alignment horizontal="center" vertical="top"/>
    </xf>
    <xf numFmtId="167" fontId="9" fillId="0" borderId="2" xfId="0" applyNumberFormat="1" applyFont="1" applyFill="1" applyBorder="1" applyAlignment="1">
      <alignment horizontal="left" vertical="top" wrapText="1"/>
    </xf>
    <xf numFmtId="165" fontId="6" fillId="2" borderId="0" xfId="0" applyNumberFormat="1" applyFont="1" applyFill="1"/>
    <xf numFmtId="0" fontId="6" fillId="2" borderId="0" xfId="0" applyFont="1" applyFill="1"/>
    <xf numFmtId="49" fontId="9" fillId="0" borderId="3" xfId="0" applyNumberFormat="1" applyFont="1" applyFill="1" applyBorder="1" applyAlignment="1">
      <alignment vertical="top" wrapText="1"/>
    </xf>
    <xf numFmtId="49" fontId="12" fillId="0" borderId="2" xfId="0" applyNumberFormat="1" applyFont="1" applyFill="1" applyBorder="1" applyAlignment="1">
      <alignment horizontal="center" vertical="top" wrapText="1"/>
    </xf>
    <xf numFmtId="166" fontId="12" fillId="0" borderId="2" xfId="0" applyNumberFormat="1" applyFont="1" applyFill="1" applyBorder="1" applyAlignment="1">
      <alignment horizontal="center" vertical="top" wrapText="1"/>
    </xf>
    <xf numFmtId="165" fontId="6" fillId="0" borderId="0" xfId="0" applyNumberFormat="1" applyFont="1"/>
    <xf numFmtId="0" fontId="6" fillId="0" borderId="0" xfId="0" applyFont="1"/>
    <xf numFmtId="0" fontId="6" fillId="0" borderId="2" xfId="0" applyNumberFormat="1" applyFont="1" applyFill="1" applyBorder="1" applyAlignment="1">
      <alignment vertical="center" wrapText="1"/>
    </xf>
    <xf numFmtId="49" fontId="6" fillId="0" borderId="3" xfId="0" applyNumberFormat="1" applyFont="1" applyFill="1" applyBorder="1" applyAlignment="1">
      <alignment wrapText="1"/>
    </xf>
    <xf numFmtId="165" fontId="12" fillId="0" borderId="2" xfId="0" applyNumberFormat="1" applyFont="1" applyFill="1" applyBorder="1" applyAlignment="1">
      <alignment horizontal="center" vertical="top" wrapText="1"/>
    </xf>
    <xf numFmtId="0" fontId="6" fillId="0" borderId="0" xfId="0" applyFont="1" applyFill="1" applyAlignment="1">
      <alignment vertical="top" wrapText="1"/>
    </xf>
    <xf numFmtId="49" fontId="9" fillId="0" borderId="2" xfId="0" applyNumberFormat="1" applyFont="1" applyFill="1" applyBorder="1" applyAlignment="1">
      <alignment wrapText="1"/>
    </xf>
    <xf numFmtId="49" fontId="9" fillId="0" borderId="5" xfId="0" applyNumberFormat="1" applyFont="1" applyFill="1" applyBorder="1" applyAlignment="1">
      <alignment vertical="top" wrapText="1"/>
    </xf>
    <xf numFmtId="49" fontId="9" fillId="0" borderId="2" xfId="0" applyNumberFormat="1" applyFont="1" applyFill="1" applyBorder="1" applyAlignment="1">
      <alignment horizontal="left" wrapText="1"/>
    </xf>
    <xf numFmtId="49" fontId="6" fillId="0" borderId="3" xfId="0" applyNumberFormat="1" applyFont="1" applyFill="1" applyBorder="1" applyAlignment="1">
      <alignment horizontal="left" wrapText="1"/>
    </xf>
    <xf numFmtId="49" fontId="9" fillId="0" borderId="3" xfId="0" applyNumberFormat="1" applyFont="1" applyFill="1" applyBorder="1" applyAlignment="1">
      <alignment wrapText="1"/>
    </xf>
    <xf numFmtId="0" fontId="9" fillId="0" borderId="2" xfId="0" applyNumberFormat="1" applyFont="1" applyFill="1" applyBorder="1" applyAlignment="1">
      <alignment horizontal="left" vertical="top" wrapText="1"/>
    </xf>
    <xf numFmtId="0" fontId="9" fillId="0" borderId="4" xfId="0" applyFont="1" applyBorder="1" applyAlignment="1">
      <alignment horizontal="center" vertical="top" wrapText="1"/>
    </xf>
    <xf numFmtId="166" fontId="9" fillId="0" borderId="2" xfId="0" applyNumberFormat="1" applyFont="1" applyFill="1" applyBorder="1" applyAlignment="1">
      <alignment horizontal="center" vertical="top" wrapText="1"/>
    </xf>
    <xf numFmtId="166" fontId="9" fillId="0" borderId="0" xfId="0" applyNumberFormat="1" applyFont="1"/>
    <xf numFmtId="49" fontId="6" fillId="0" borderId="0" xfId="0" applyNumberFormat="1" applyFont="1" applyAlignment="1">
      <alignment vertical="center"/>
    </xf>
    <xf numFmtId="0" fontId="6" fillId="0" borderId="0" xfId="0" applyFont="1" applyAlignment="1">
      <alignment vertical="center"/>
    </xf>
    <xf numFmtId="0" fontId="9" fillId="0" borderId="3" xfId="0" applyFont="1" applyFill="1" applyBorder="1" applyAlignment="1">
      <alignment horizontal="center" vertical="top" wrapText="1"/>
    </xf>
    <xf numFmtId="0" fontId="13" fillId="0" borderId="4" xfId="0" applyFont="1" applyFill="1" applyBorder="1" applyAlignment="1">
      <alignment horizontal="center" wrapText="1"/>
    </xf>
    <xf numFmtId="49" fontId="6" fillId="0" borderId="5" xfId="0" applyNumberFormat="1" applyFont="1" applyFill="1" applyBorder="1" applyAlignment="1">
      <alignment horizontal="left" vertical="top" wrapText="1"/>
    </xf>
    <xf numFmtId="0" fontId="13" fillId="0" borderId="0" xfId="0" applyFont="1"/>
    <xf numFmtId="3" fontId="9" fillId="0" borderId="2" xfId="0" applyNumberFormat="1" applyFont="1" applyFill="1" applyBorder="1" applyAlignment="1">
      <alignment horizontal="left" vertical="top" wrapText="1"/>
    </xf>
    <xf numFmtId="0" fontId="6" fillId="0" borderId="2" xfId="3" applyNumberFormat="1" applyFont="1" applyFill="1" applyBorder="1" applyAlignment="1" applyProtection="1">
      <alignment horizontal="left" vertical="top" wrapText="1"/>
      <protection hidden="1"/>
    </xf>
    <xf numFmtId="3" fontId="9" fillId="0" borderId="3" xfId="0" applyNumberFormat="1" applyFont="1" applyFill="1" applyBorder="1" applyAlignment="1">
      <alignment horizontal="left" vertical="top" wrapText="1"/>
    </xf>
    <xf numFmtId="0" fontId="6" fillId="0" borderId="2" xfId="3" applyNumberFormat="1" applyFont="1" applyFill="1" applyBorder="1" applyAlignment="1" applyProtection="1">
      <alignment vertical="top" wrapText="1"/>
      <protection hidden="1"/>
    </xf>
    <xf numFmtId="165" fontId="6" fillId="0" borderId="0" xfId="0" applyNumberFormat="1" applyFont="1" applyAlignment="1">
      <alignment vertical="top"/>
    </xf>
    <xf numFmtId="0" fontId="6" fillId="0" borderId="0" xfId="0" applyFont="1" applyAlignment="1">
      <alignment vertical="top"/>
    </xf>
    <xf numFmtId="0" fontId="6" fillId="0" borderId="5"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166" fontId="13" fillId="0" borderId="0" xfId="0" applyNumberFormat="1" applyFont="1"/>
    <xf numFmtId="0" fontId="6" fillId="0" borderId="5" xfId="3" applyNumberFormat="1" applyFont="1" applyFill="1" applyBorder="1" applyAlignment="1" applyProtection="1">
      <alignment horizontal="center" vertical="top" wrapText="1"/>
      <protection hidden="1"/>
    </xf>
    <xf numFmtId="0" fontId="6" fillId="0" borderId="5" xfId="3" applyNumberFormat="1" applyFont="1" applyFill="1" applyBorder="1" applyAlignment="1" applyProtection="1">
      <alignment horizontal="left" vertical="top" wrapText="1"/>
      <protection hidden="1"/>
    </xf>
    <xf numFmtId="0" fontId="6" fillId="4" borderId="0" xfId="0" applyFont="1" applyFill="1" applyAlignment="1">
      <alignment vertical="center"/>
    </xf>
    <xf numFmtId="0" fontId="6" fillId="4" borderId="0" xfId="0" applyFont="1" applyFill="1"/>
    <xf numFmtId="0" fontId="6" fillId="3" borderId="0" xfId="0" applyFont="1" applyFill="1" applyAlignment="1">
      <alignment vertical="top"/>
    </xf>
    <xf numFmtId="165" fontId="6" fillId="4" borderId="0" xfId="0" applyNumberFormat="1" applyFont="1" applyFill="1"/>
    <xf numFmtId="49" fontId="6" fillId="0" borderId="5" xfId="0" applyNumberFormat="1" applyFont="1" applyFill="1" applyBorder="1" applyAlignment="1">
      <alignment horizontal="center" vertical="top" wrapText="1"/>
    </xf>
    <xf numFmtId="0" fontId="6" fillId="0" borderId="2" xfId="0" applyNumberFormat="1" applyFont="1" applyFill="1" applyBorder="1" applyAlignment="1">
      <alignment vertical="justify"/>
    </xf>
    <xf numFmtId="49" fontId="6" fillId="0" borderId="3" xfId="0" applyNumberFormat="1" applyFont="1" applyFill="1" applyBorder="1" applyAlignment="1">
      <alignment horizontal="left" vertical="top" wrapText="1"/>
    </xf>
    <xf numFmtId="49" fontId="6" fillId="0" borderId="3" xfId="0" applyNumberFormat="1" applyFont="1" applyFill="1" applyBorder="1" applyAlignment="1">
      <alignment horizontal="center" vertical="top" wrapText="1"/>
    </xf>
    <xf numFmtId="49" fontId="6" fillId="0" borderId="5" xfId="0" applyNumberFormat="1" applyFont="1" applyFill="1" applyBorder="1" applyAlignment="1">
      <alignment vertical="top" wrapText="1"/>
    </xf>
    <xf numFmtId="0" fontId="6" fillId="0" borderId="2" xfId="0" applyNumberFormat="1" applyFont="1" applyFill="1" applyBorder="1" applyAlignment="1">
      <alignment horizontal="left" vertical="top" wrapText="1"/>
    </xf>
    <xf numFmtId="0" fontId="9" fillId="0" borderId="0" xfId="0" applyFont="1" applyAlignment="1">
      <alignment vertical="center"/>
    </xf>
    <xf numFmtId="165" fontId="20" fillId="0" borderId="0" xfId="0" applyNumberFormat="1" applyFont="1" applyFill="1"/>
    <xf numFmtId="0" fontId="20" fillId="3" borderId="0" xfId="0" applyFont="1" applyFill="1"/>
    <xf numFmtId="0" fontId="20" fillId="0" borderId="0" xfId="0" applyFont="1" applyFill="1"/>
    <xf numFmtId="167" fontId="6" fillId="0" borderId="2" xfId="0" applyNumberFormat="1" applyFont="1" applyFill="1" applyBorder="1" applyAlignment="1">
      <alignment vertical="top" wrapText="1"/>
    </xf>
    <xf numFmtId="165" fontId="6" fillId="0" borderId="2" xfId="0" applyNumberFormat="1" applyFont="1" applyFill="1" applyBorder="1" applyAlignment="1">
      <alignment vertical="top"/>
    </xf>
    <xf numFmtId="0" fontId="20" fillId="0" borderId="11" xfId="0" applyFont="1" applyFill="1" applyBorder="1" applyAlignment="1">
      <alignment vertical="top"/>
    </xf>
    <xf numFmtId="167" fontId="13" fillId="0" borderId="2" xfId="0" applyNumberFormat="1" applyFont="1" applyFill="1" applyBorder="1" applyAlignment="1">
      <alignment vertical="top" wrapText="1"/>
    </xf>
    <xf numFmtId="165" fontId="6" fillId="0" borderId="2" xfId="0" applyNumberFormat="1" applyFont="1" applyFill="1" applyBorder="1" applyAlignment="1"/>
    <xf numFmtId="0" fontId="9" fillId="0" borderId="5" xfId="0" applyFont="1" applyFill="1" applyBorder="1" applyAlignment="1">
      <alignment horizontal="center" vertical="top" wrapText="1"/>
    </xf>
    <xf numFmtId="0" fontId="20" fillId="0" borderId="0" xfId="0" applyFont="1" applyFill="1" applyBorder="1" applyAlignment="1">
      <alignment vertical="top"/>
    </xf>
    <xf numFmtId="165" fontId="20" fillId="0" borderId="0" xfId="0" applyNumberFormat="1" applyFont="1" applyFill="1" applyAlignment="1">
      <alignment vertical="top"/>
    </xf>
    <xf numFmtId="0" fontId="9" fillId="0" borderId="2" xfId="0" applyNumberFormat="1" applyFont="1" applyFill="1" applyBorder="1" applyAlignment="1">
      <alignment vertical="top" wrapText="1"/>
    </xf>
    <xf numFmtId="49" fontId="9" fillId="0" borderId="2" xfId="0" applyNumberFormat="1" applyFont="1" applyFill="1" applyBorder="1" applyAlignment="1">
      <alignment vertical="top"/>
    </xf>
    <xf numFmtId="165" fontId="9" fillId="0" borderId="2" xfId="0" applyNumberFormat="1" applyFont="1" applyFill="1" applyBorder="1" applyAlignment="1">
      <alignment vertical="top"/>
    </xf>
    <xf numFmtId="168" fontId="6" fillId="0" borderId="2" xfId="4" applyNumberFormat="1" applyFont="1" applyFill="1" applyBorder="1" applyAlignment="1" applyProtection="1">
      <alignment horizontal="left" vertical="top" wrapText="1"/>
      <protection hidden="1"/>
    </xf>
    <xf numFmtId="0" fontId="9" fillId="0" borderId="4" xfId="0" applyFont="1" applyFill="1" applyBorder="1" applyAlignment="1">
      <alignment horizontal="center" vertical="top" wrapText="1"/>
    </xf>
    <xf numFmtId="0" fontId="20" fillId="0" borderId="0" xfId="0" applyFont="1" applyFill="1" applyAlignment="1">
      <alignment vertical="center"/>
    </xf>
    <xf numFmtId="49" fontId="20" fillId="0" borderId="2" xfId="0" applyNumberFormat="1" applyFont="1" applyFill="1" applyBorder="1" applyAlignment="1">
      <alignment vertical="top"/>
    </xf>
    <xf numFmtId="0" fontId="13" fillId="0" borderId="5" xfId="3" applyNumberFormat="1" applyFont="1" applyFill="1" applyBorder="1" applyAlignment="1" applyProtection="1">
      <alignment horizontal="center" vertical="top" wrapText="1"/>
      <protection hidden="1"/>
    </xf>
    <xf numFmtId="4" fontId="20" fillId="0" borderId="0" xfId="0" applyNumberFormat="1" applyFont="1" applyFill="1"/>
    <xf numFmtId="0" fontId="9" fillId="0" borderId="5" xfId="3" applyNumberFormat="1" applyFont="1" applyFill="1" applyBorder="1" applyAlignment="1" applyProtection="1">
      <alignment horizontal="center" vertical="top" wrapText="1"/>
      <protection hidden="1"/>
    </xf>
    <xf numFmtId="49" fontId="6" fillId="0" borderId="2" xfId="0" applyNumberFormat="1" applyFont="1" applyFill="1" applyBorder="1" applyAlignment="1">
      <alignment vertical="justify" wrapText="1"/>
    </xf>
    <xf numFmtId="166" fontId="6" fillId="0" borderId="2" xfId="0" applyNumberFormat="1" applyFont="1" applyFill="1" applyBorder="1" applyAlignment="1">
      <alignment horizontal="right" vertical="top" wrapText="1"/>
    </xf>
    <xf numFmtId="49" fontId="13" fillId="0" borderId="2" xfId="0" applyNumberFormat="1" applyFont="1" applyFill="1" applyBorder="1"/>
    <xf numFmtId="0" fontId="20" fillId="2" borderId="0" xfId="0" applyFont="1" applyFill="1"/>
    <xf numFmtId="0" fontId="9" fillId="2" borderId="0" xfId="0" applyFont="1" applyFill="1" applyAlignment="1">
      <alignment horizontal="center"/>
    </xf>
    <xf numFmtId="0" fontId="6" fillId="0" borderId="3" xfId="3" applyNumberFormat="1" applyFont="1" applyFill="1" applyBorder="1" applyAlignment="1" applyProtection="1">
      <alignment horizontal="left" vertical="top" wrapText="1"/>
      <protection hidden="1"/>
    </xf>
    <xf numFmtId="49" fontId="6" fillId="0" borderId="2" xfId="3" applyNumberFormat="1" applyFont="1" applyFill="1" applyBorder="1" applyAlignment="1" applyProtection="1">
      <alignment horizontal="left" vertical="top" wrapText="1"/>
      <protection hidden="1"/>
    </xf>
    <xf numFmtId="4" fontId="6" fillId="0" borderId="2" xfId="3" applyNumberFormat="1" applyFont="1" applyFill="1" applyBorder="1" applyAlignment="1" applyProtection="1">
      <alignment horizontal="center" vertical="top" wrapText="1"/>
      <protection hidden="1"/>
    </xf>
    <xf numFmtId="0" fontId="6" fillId="0" borderId="0" xfId="0" applyFont="1" applyAlignment="1">
      <alignment horizontal="left"/>
    </xf>
    <xf numFmtId="0" fontId="6" fillId="0" borderId="7" xfId="0" applyNumberFormat="1" applyFont="1" applyFill="1" applyBorder="1" applyAlignment="1">
      <alignment vertical="top" wrapText="1"/>
    </xf>
    <xf numFmtId="49" fontId="6" fillId="0" borderId="7" xfId="0" applyNumberFormat="1" applyFont="1" applyFill="1" applyBorder="1" applyAlignment="1">
      <alignment horizontal="left" vertical="top" wrapText="1"/>
    </xf>
    <xf numFmtId="0" fontId="6" fillId="0" borderId="0" xfId="0" applyFont="1" applyFill="1"/>
    <xf numFmtId="0" fontId="9" fillId="0" borderId="0" xfId="0" applyFont="1" applyFill="1" applyAlignment="1">
      <alignment vertical="center"/>
    </xf>
    <xf numFmtId="165" fontId="6" fillId="0" borderId="2" xfId="0" applyNumberFormat="1" applyFont="1" applyFill="1" applyBorder="1" applyAlignment="1">
      <alignment vertical="top" wrapText="1"/>
    </xf>
    <xf numFmtId="166" fontId="6" fillId="0" borderId="2" xfId="0" applyNumberFormat="1" applyFont="1" applyFill="1" applyBorder="1" applyAlignment="1">
      <alignment vertical="top" wrapText="1"/>
    </xf>
    <xf numFmtId="0" fontId="6" fillId="0" borderId="0" xfId="0" applyFont="1" applyFill="1" applyAlignment="1">
      <alignment vertical="center"/>
    </xf>
    <xf numFmtId="167" fontId="6" fillId="0" borderId="5" xfId="0" applyNumberFormat="1" applyFont="1" applyFill="1" applyBorder="1" applyAlignment="1">
      <alignment vertical="top" wrapText="1"/>
    </xf>
    <xf numFmtId="49" fontId="6" fillId="0" borderId="2" xfId="0" applyNumberFormat="1" applyFont="1" applyFill="1" applyBorder="1" applyAlignment="1">
      <alignment horizontal="left" vertical="top"/>
    </xf>
    <xf numFmtId="0" fontId="9" fillId="6" borderId="0" xfId="0" applyFont="1" applyFill="1"/>
    <xf numFmtId="0" fontId="6" fillId="2" borderId="0" xfId="0" applyFont="1" applyFill="1" applyAlignment="1">
      <alignment vertical="center"/>
    </xf>
    <xf numFmtId="166" fontId="6" fillId="0" borderId="2" xfId="0" applyNumberFormat="1" applyFont="1" applyFill="1" applyBorder="1" applyAlignment="1">
      <alignment vertical="top"/>
    </xf>
    <xf numFmtId="166" fontId="6" fillId="0" borderId="0" xfId="0" applyNumberFormat="1" applyFont="1"/>
    <xf numFmtId="49" fontId="9" fillId="0" borderId="5" xfId="0" applyNumberFormat="1" applyFont="1" applyFill="1" applyBorder="1" applyAlignment="1">
      <alignment horizontal="center" vertical="top" wrapText="1"/>
    </xf>
    <xf numFmtId="0" fontId="9" fillId="0" borderId="3" xfId="0" applyNumberFormat="1" applyFont="1" applyFill="1" applyBorder="1" applyAlignment="1">
      <alignment vertical="top" wrapText="1"/>
    </xf>
    <xf numFmtId="49" fontId="9" fillId="0" borderId="5" xfId="0" applyNumberFormat="1" applyFont="1" applyFill="1" applyBorder="1" applyAlignment="1">
      <alignment horizontal="left" vertical="top" wrapText="1"/>
    </xf>
    <xf numFmtId="49" fontId="20" fillId="0" borderId="2" xfId="0" applyNumberFormat="1" applyFont="1" applyFill="1" applyBorder="1" applyAlignment="1">
      <alignment horizontal="left" vertical="top" wrapText="1"/>
    </xf>
    <xf numFmtId="165" fontId="6" fillId="0" borderId="3" xfId="0" applyNumberFormat="1" applyFont="1" applyFill="1" applyBorder="1" applyAlignment="1">
      <alignment vertical="top" wrapText="1"/>
    </xf>
    <xf numFmtId="165" fontId="9" fillId="0" borderId="2" xfId="0" applyNumberFormat="1" applyFont="1" applyFill="1" applyBorder="1" applyAlignment="1">
      <alignment horizontal="right" vertical="top"/>
    </xf>
    <xf numFmtId="165" fontId="9" fillId="0" borderId="2" xfId="0" applyNumberFormat="1" applyFont="1" applyFill="1" applyBorder="1" applyAlignment="1">
      <alignment vertical="top" wrapText="1"/>
    </xf>
    <xf numFmtId="166" fontId="9" fillId="0" borderId="2" xfId="0" applyNumberFormat="1" applyFont="1" applyFill="1" applyBorder="1" applyAlignment="1">
      <alignment horizontal="right"/>
    </xf>
    <xf numFmtId="166" fontId="9" fillId="0" borderId="2" xfId="0" applyNumberFormat="1" applyFont="1" applyFill="1" applyBorder="1" applyAlignment="1">
      <alignment horizontal="center"/>
    </xf>
    <xf numFmtId="165" fontId="9" fillId="0" borderId="2" xfId="0" applyNumberFormat="1" applyFont="1" applyFill="1" applyBorder="1" applyAlignment="1">
      <alignment horizontal="right"/>
    </xf>
    <xf numFmtId="0" fontId="21" fillId="5" borderId="2" xfId="0" applyFont="1" applyFill="1" applyBorder="1" applyAlignment="1">
      <alignment wrapText="1"/>
    </xf>
    <xf numFmtId="49" fontId="9" fillId="0" borderId="2" xfId="0" applyNumberFormat="1" applyFont="1" applyFill="1" applyBorder="1" applyAlignment="1">
      <alignment vertical="center" wrapText="1"/>
    </xf>
    <xf numFmtId="0" fontId="9" fillId="0" borderId="4" xfId="0" applyFont="1" applyFill="1" applyBorder="1" applyAlignment="1">
      <alignment vertical="top" wrapText="1"/>
    </xf>
    <xf numFmtId="0" fontId="9" fillId="0" borderId="2" xfId="0" applyFont="1" applyFill="1" applyBorder="1" applyAlignment="1">
      <alignment vertical="top" wrapText="1"/>
    </xf>
    <xf numFmtId="0" fontId="9" fillId="0" borderId="0" xfId="0" applyFont="1" applyFill="1" applyAlignment="1">
      <alignment vertical="top" wrapText="1"/>
    </xf>
    <xf numFmtId="49" fontId="9" fillId="0" borderId="9" xfId="0" applyNumberFormat="1" applyFont="1" applyFill="1" applyBorder="1" applyAlignment="1">
      <alignment horizontal="left" vertical="top" wrapText="1"/>
    </xf>
    <xf numFmtId="3" fontId="9" fillId="0" borderId="10" xfId="0" applyNumberFormat="1" applyFont="1" applyFill="1" applyBorder="1" applyAlignment="1">
      <alignment horizontal="left" vertical="top" wrapText="1"/>
    </xf>
    <xf numFmtId="0" fontId="9" fillId="0" borderId="3" xfId="3" applyNumberFormat="1" applyFont="1" applyFill="1" applyBorder="1" applyAlignment="1" applyProtection="1">
      <alignment vertical="top" wrapText="1"/>
      <protection hidden="1"/>
    </xf>
    <xf numFmtId="49" fontId="9" fillId="0" borderId="3" xfId="0" applyNumberFormat="1" applyFont="1" applyFill="1" applyBorder="1" applyAlignment="1">
      <alignment horizontal="left" vertical="top" wrapText="1"/>
    </xf>
    <xf numFmtId="49" fontId="12" fillId="0" borderId="2" xfId="0" applyNumberFormat="1" applyFont="1" applyFill="1" applyBorder="1" applyAlignment="1">
      <alignment horizontal="center" vertical="top"/>
    </xf>
    <xf numFmtId="49" fontId="9" fillId="0" borderId="2" xfId="0" applyNumberFormat="1" applyFont="1" applyFill="1" applyBorder="1" applyAlignment="1">
      <alignment vertical="justify"/>
    </xf>
    <xf numFmtId="49" fontId="6" fillId="0" borderId="5" xfId="0" applyNumberFormat="1" applyFont="1" applyFill="1" applyBorder="1" applyAlignment="1">
      <alignment horizontal="center" vertical="top"/>
    </xf>
    <xf numFmtId="0" fontId="9" fillId="0" borderId="5" xfId="3" applyNumberFormat="1" applyFont="1" applyFill="1" applyBorder="1" applyAlignment="1" applyProtection="1">
      <alignment horizontal="left" vertical="top" wrapText="1"/>
      <protection hidden="1"/>
    </xf>
    <xf numFmtId="49" fontId="12" fillId="0" borderId="5"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0" fontId="9" fillId="0" borderId="2" xfId="0" applyFont="1" applyFill="1" applyBorder="1" applyAlignment="1">
      <alignment horizontal="center" vertical="center" wrapText="1"/>
    </xf>
    <xf numFmtId="167" fontId="9" fillId="0" borderId="2" xfId="0" applyNumberFormat="1" applyFont="1" applyFill="1" applyBorder="1" applyAlignment="1">
      <alignment vertical="top" wrapText="1"/>
    </xf>
    <xf numFmtId="0" fontId="9" fillId="0" borderId="12" xfId="0" applyFont="1" applyFill="1" applyBorder="1" applyAlignment="1">
      <alignment horizontal="center" vertical="top" wrapText="1"/>
    </xf>
    <xf numFmtId="49" fontId="20" fillId="0" borderId="2" xfId="0" applyNumberFormat="1" applyFont="1" applyFill="1" applyBorder="1"/>
    <xf numFmtId="166" fontId="9" fillId="0" borderId="2" xfId="0" applyNumberFormat="1" applyFont="1" applyFill="1" applyBorder="1" applyAlignment="1">
      <alignment horizontal="right" vertical="top" wrapText="1"/>
    </xf>
    <xf numFmtId="0" fontId="6" fillId="0" borderId="2" xfId="0" applyFont="1" applyFill="1" applyBorder="1" applyAlignment="1">
      <alignment wrapText="1"/>
    </xf>
    <xf numFmtId="0" fontId="6" fillId="0" borderId="3" xfId="0" applyFont="1" applyFill="1" applyBorder="1" applyAlignment="1">
      <alignment wrapText="1"/>
    </xf>
    <xf numFmtId="0" fontId="9" fillId="0" borderId="2" xfId="0" applyNumberFormat="1" applyFont="1" applyFill="1" applyBorder="1" applyAlignment="1">
      <alignment horizontal="center" vertical="top" wrapText="1"/>
    </xf>
    <xf numFmtId="165" fontId="9" fillId="0" borderId="2" xfId="0" applyNumberFormat="1" applyFont="1" applyFill="1" applyBorder="1" applyAlignment="1">
      <alignment horizontal="center" vertical="top"/>
    </xf>
    <xf numFmtId="0" fontId="6" fillId="0" borderId="4" xfId="0"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9" fillId="0" borderId="2" xfId="0" applyFont="1" applyFill="1" applyBorder="1" applyAlignment="1">
      <alignment horizontal="center" vertical="top" wrapText="1"/>
    </xf>
    <xf numFmtId="167" fontId="9" fillId="0" borderId="7" xfId="0" applyNumberFormat="1" applyFont="1" applyFill="1" applyBorder="1" applyAlignment="1">
      <alignment vertical="top" wrapText="1"/>
    </xf>
    <xf numFmtId="166" fontId="9" fillId="0" borderId="2" xfId="0" applyNumberFormat="1" applyFont="1" applyFill="1" applyBorder="1" applyAlignment="1">
      <alignment vertical="top" wrapText="1"/>
    </xf>
    <xf numFmtId="49" fontId="9" fillId="0" borderId="2" xfId="0" applyNumberFormat="1" applyFont="1" applyFill="1" applyBorder="1" applyAlignment="1">
      <alignment horizontal="center" vertical="center" wrapText="1"/>
    </xf>
    <xf numFmtId="0" fontId="9" fillId="0" borderId="2" xfId="3" applyNumberFormat="1" applyFont="1" applyFill="1" applyBorder="1" applyAlignment="1" applyProtection="1">
      <alignment vertical="top" wrapText="1"/>
      <protection hidden="1"/>
    </xf>
    <xf numFmtId="165" fontId="9" fillId="0" borderId="2" xfId="0" applyNumberFormat="1" applyFont="1" applyFill="1" applyBorder="1" applyAlignment="1"/>
    <xf numFmtId="0" fontId="9" fillId="0" borderId="5" xfId="0" applyFont="1" applyFill="1" applyBorder="1" applyAlignment="1">
      <alignment vertical="top" wrapText="1"/>
    </xf>
    <xf numFmtId="49" fontId="9" fillId="0" borderId="2" xfId="0" applyNumberFormat="1" applyFont="1" applyFill="1" applyBorder="1" applyAlignment="1">
      <alignment horizontal="left" vertical="top"/>
    </xf>
    <xf numFmtId="2" fontId="9" fillId="0" borderId="2" xfId="0" applyNumberFormat="1" applyFont="1" applyFill="1" applyBorder="1" applyAlignment="1">
      <alignment horizontal="center" vertical="top" wrapText="1"/>
    </xf>
    <xf numFmtId="0" fontId="9" fillId="0" borderId="2" xfId="0" applyNumberFormat="1" applyFont="1" applyFill="1" applyBorder="1" applyAlignment="1" applyProtection="1">
      <alignment horizontal="left" vertical="top" wrapText="1"/>
    </xf>
    <xf numFmtId="167" fontId="9" fillId="0" borderId="3" xfId="0" applyNumberFormat="1" applyFont="1" applyFill="1" applyBorder="1" applyAlignment="1">
      <alignment vertical="top" wrapText="1"/>
    </xf>
    <xf numFmtId="0" fontId="9" fillId="0" borderId="3" xfId="0" applyFont="1" applyFill="1" applyBorder="1" applyAlignment="1">
      <alignment vertical="top" wrapText="1"/>
    </xf>
    <xf numFmtId="49" fontId="13" fillId="0" borderId="3" xfId="0" applyNumberFormat="1" applyFont="1" applyFill="1" applyBorder="1" applyAlignment="1">
      <alignment horizontal="center" vertical="top" wrapText="1"/>
    </xf>
    <xf numFmtId="49" fontId="6" fillId="0" borderId="4" xfId="0" applyNumberFormat="1"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6" fillId="0" borderId="2" xfId="0" applyFont="1" applyFill="1" applyBorder="1"/>
    <xf numFmtId="0" fontId="9" fillId="0" borderId="2" xfId="0" applyFont="1" applyFill="1" applyBorder="1" applyAlignment="1">
      <alignment vertical="justify"/>
    </xf>
    <xf numFmtId="0" fontId="9" fillId="0" borderId="2" xfId="0" applyFont="1" applyFill="1" applyBorder="1"/>
    <xf numFmtId="0" fontId="9" fillId="0" borderId="2" xfId="0" applyFont="1" applyFill="1" applyBorder="1" applyAlignment="1">
      <alignment vertical="center" wrapText="1"/>
    </xf>
    <xf numFmtId="0" fontId="9" fillId="0" borderId="6" xfId="0" applyFont="1" applyFill="1" applyBorder="1" applyAlignment="1">
      <alignment horizontal="left" vertical="top" wrapText="1"/>
    </xf>
    <xf numFmtId="0" fontId="9" fillId="3" borderId="2" xfId="0" applyFont="1" applyFill="1" applyBorder="1"/>
    <xf numFmtId="0" fontId="10" fillId="0" borderId="2" xfId="0" applyFont="1" applyFill="1" applyBorder="1"/>
    <xf numFmtId="0" fontId="10" fillId="0" borderId="0" xfId="0" applyFont="1" applyFill="1"/>
    <xf numFmtId="49" fontId="23" fillId="0" borderId="7" xfId="0" applyNumberFormat="1" applyFont="1" applyFill="1" applyBorder="1" applyAlignment="1">
      <alignment horizontal="left" vertical="top" wrapText="1"/>
    </xf>
    <xf numFmtId="49" fontId="11" fillId="0" borderId="2" xfId="0" applyNumberFormat="1" applyFont="1" applyFill="1" applyBorder="1" applyAlignment="1">
      <alignment horizontal="left" vertical="top" wrapText="1"/>
    </xf>
    <xf numFmtId="49" fontId="24" fillId="0" borderId="2" xfId="0" applyNumberFormat="1" applyFont="1" applyFill="1" applyBorder="1" applyAlignment="1">
      <alignment horizontal="left" vertical="top" wrapText="1"/>
    </xf>
    <xf numFmtId="166" fontId="25" fillId="0" borderId="2" xfId="0" applyNumberFormat="1" applyFont="1" applyFill="1" applyBorder="1" applyAlignment="1">
      <alignment horizontal="right" vertical="top" wrapText="1"/>
    </xf>
    <xf numFmtId="0" fontId="25" fillId="0" borderId="4" xfId="0" applyFont="1" applyFill="1" applyBorder="1" applyAlignment="1">
      <alignment vertical="top" wrapText="1"/>
    </xf>
    <xf numFmtId="49" fontId="23" fillId="0" borderId="2" xfId="0" applyNumberFormat="1" applyFont="1" applyFill="1" applyBorder="1" applyAlignment="1">
      <alignment horizontal="left" vertical="top" wrapText="1"/>
    </xf>
    <xf numFmtId="0" fontId="3" fillId="0" borderId="0" xfId="0" applyFont="1" applyFill="1"/>
    <xf numFmtId="49" fontId="26" fillId="0" borderId="2" xfId="0" applyNumberFormat="1" applyFont="1" applyFill="1" applyBorder="1" applyAlignment="1">
      <alignment horizontal="left" vertical="top" wrapText="1"/>
    </xf>
    <xf numFmtId="49" fontId="14" fillId="0" borderId="2" xfId="0" applyNumberFormat="1" applyFont="1" applyFill="1" applyBorder="1" applyAlignment="1">
      <alignment horizontal="left" vertical="top" wrapText="1"/>
    </xf>
    <xf numFmtId="49" fontId="27" fillId="0" borderId="2" xfId="0" applyNumberFormat="1" applyFont="1" applyFill="1" applyBorder="1" applyAlignment="1">
      <alignment horizontal="left" vertical="top" wrapText="1"/>
    </xf>
    <xf numFmtId="166" fontId="28" fillId="0" borderId="2" xfId="0" applyNumberFormat="1" applyFont="1" applyFill="1" applyBorder="1" applyAlignment="1">
      <alignment vertical="top" wrapText="1"/>
    </xf>
    <xf numFmtId="166" fontId="28" fillId="0" borderId="2" xfId="0" applyNumberFormat="1" applyFont="1" applyFill="1" applyBorder="1" applyAlignment="1">
      <alignment horizontal="right" vertical="top" wrapText="1"/>
    </xf>
    <xf numFmtId="49" fontId="29"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0" fillId="0" borderId="2" xfId="0" applyNumberFormat="1" applyFont="1" applyFill="1" applyBorder="1" applyAlignment="1">
      <alignment horizontal="left" vertical="top" wrapText="1"/>
    </xf>
    <xf numFmtId="166" fontId="1" fillId="0" borderId="2" xfId="0" applyNumberFormat="1" applyFont="1" applyFill="1" applyBorder="1" applyAlignment="1">
      <alignment vertical="top" wrapText="1"/>
    </xf>
    <xf numFmtId="166" fontId="1" fillId="0" borderId="2" xfId="0" applyNumberFormat="1" applyFont="1" applyFill="1" applyBorder="1" applyAlignment="1">
      <alignment horizontal="right" vertical="top" wrapText="1"/>
    </xf>
    <xf numFmtId="49" fontId="31" fillId="0" borderId="2" xfId="0" applyNumberFormat="1" applyFont="1" applyFill="1" applyBorder="1" applyAlignment="1">
      <alignment horizontal="left" vertical="top" wrapText="1"/>
    </xf>
    <xf numFmtId="49" fontId="25" fillId="0" borderId="2" xfId="0" applyNumberFormat="1" applyFont="1" applyFill="1" applyBorder="1" applyAlignment="1">
      <alignment horizontal="left" vertical="top" wrapText="1"/>
    </xf>
    <xf numFmtId="166" fontId="25" fillId="0" borderId="2" xfId="0" applyNumberFormat="1" applyFont="1" applyFill="1" applyBorder="1" applyAlignment="1">
      <alignment vertical="top" wrapText="1"/>
    </xf>
    <xf numFmtId="49" fontId="32" fillId="0" borderId="2" xfId="0" applyNumberFormat="1" applyFont="1" applyFill="1" applyBorder="1" applyAlignment="1">
      <alignment horizontal="left" vertical="top" wrapText="1"/>
    </xf>
    <xf numFmtId="49" fontId="1" fillId="0" borderId="2" xfId="0" applyNumberFormat="1" applyFont="1" applyFill="1" applyBorder="1" applyAlignment="1">
      <alignment horizontal="left" vertical="top" wrapText="1"/>
    </xf>
    <xf numFmtId="0" fontId="0" fillId="0" borderId="2" xfId="0" applyBorder="1" applyAlignment="1">
      <alignment horizontal="left" vertical="top" wrapText="1"/>
    </xf>
    <xf numFmtId="0" fontId="24" fillId="0" borderId="2" xfId="0" applyFont="1" applyFill="1" applyBorder="1" applyAlignment="1">
      <alignment horizontal="left" vertical="top" wrapText="1"/>
    </xf>
    <xf numFmtId="49" fontId="33" fillId="0" borderId="2" xfId="0" applyNumberFormat="1" applyFont="1" applyFill="1" applyBorder="1" applyAlignment="1">
      <alignment horizontal="left" vertical="top" wrapText="1"/>
    </xf>
    <xf numFmtId="49" fontId="28" fillId="0" borderId="2" xfId="0" applyNumberFormat="1" applyFont="1" applyFill="1" applyBorder="1" applyAlignment="1">
      <alignment horizontal="right" vertical="top" wrapText="1"/>
    </xf>
    <xf numFmtId="0" fontId="30" fillId="0" borderId="2" xfId="0" applyFont="1" applyFill="1" applyBorder="1" applyAlignment="1">
      <alignment horizontal="left" vertical="top" wrapText="1"/>
    </xf>
    <xf numFmtId="0" fontId="11" fillId="0" borderId="5" xfId="0" applyFont="1" applyBorder="1" applyAlignment="1">
      <alignment vertical="center"/>
    </xf>
    <xf numFmtId="0" fontId="11" fillId="0" borderId="2" xfId="0" applyFont="1" applyFill="1" applyBorder="1" applyAlignment="1">
      <alignment vertical="center"/>
    </xf>
    <xf numFmtId="49" fontId="9" fillId="3" borderId="3" xfId="0" applyNumberFormat="1" applyFont="1" applyFill="1" applyBorder="1" applyAlignment="1">
      <alignment horizontal="left" vertical="top" wrapText="1"/>
    </xf>
    <xf numFmtId="166" fontId="9" fillId="3" borderId="2" xfId="0" applyNumberFormat="1" applyFont="1" applyFill="1" applyBorder="1" applyAlignment="1">
      <alignment horizontal="right" vertical="top" wrapText="1"/>
    </xf>
    <xf numFmtId="0" fontId="15" fillId="7" borderId="2" xfId="0" applyFont="1" applyFill="1" applyBorder="1" applyAlignment="1">
      <alignment wrapText="1"/>
    </xf>
    <xf numFmtId="0" fontId="9" fillId="7" borderId="7" xfId="0" applyFont="1" applyFill="1" applyBorder="1" applyAlignment="1">
      <alignment horizontal="center" vertical="top" wrapText="1"/>
    </xf>
    <xf numFmtId="165" fontId="9" fillId="7" borderId="2" xfId="0" applyNumberFormat="1" applyFont="1" applyFill="1" applyBorder="1" applyAlignment="1">
      <alignment horizontal="right" vertical="top" wrapText="1"/>
    </xf>
    <xf numFmtId="165" fontId="9" fillId="7" borderId="8" xfId="0" applyNumberFormat="1" applyFont="1" applyFill="1" applyBorder="1" applyAlignment="1">
      <alignment wrapText="1" shrinkToFit="1"/>
    </xf>
    <xf numFmtId="165" fontId="9" fillId="7" borderId="2" xfId="0" applyNumberFormat="1" applyFont="1" applyFill="1" applyBorder="1" applyAlignment="1">
      <alignment wrapText="1" shrinkToFit="1"/>
    </xf>
    <xf numFmtId="0" fontId="9" fillId="0" borderId="0" xfId="0" applyFont="1" applyFill="1" applyBorder="1"/>
    <xf numFmtId="49" fontId="9" fillId="0" borderId="2" xfId="0" applyNumberFormat="1" applyFont="1" applyBorder="1" applyAlignment="1">
      <alignment vertical="center"/>
    </xf>
    <xf numFmtId="49" fontId="9" fillId="0" borderId="2" xfId="0" applyNumberFormat="1" applyFont="1" applyBorder="1" applyAlignment="1">
      <alignment wrapText="1"/>
    </xf>
    <xf numFmtId="165" fontId="9" fillId="4" borderId="2" xfId="0" applyNumberFormat="1" applyFont="1" applyFill="1" applyBorder="1" applyAlignment="1">
      <alignment horizontal="right"/>
    </xf>
    <xf numFmtId="166" fontId="34" fillId="0" borderId="0" xfId="0" applyNumberFormat="1" applyFont="1"/>
    <xf numFmtId="0" fontId="34" fillId="0" borderId="0" xfId="0" applyFont="1"/>
    <xf numFmtId="49" fontId="9" fillId="0" borderId="2" xfId="0" applyNumberFormat="1" applyFont="1" applyBorder="1" applyAlignment="1">
      <alignment vertical="top" wrapText="1"/>
    </xf>
    <xf numFmtId="49" fontId="9" fillId="0" borderId="2" xfId="0" applyNumberFormat="1" applyFont="1" applyBorder="1" applyAlignment="1">
      <alignment horizontal="left" vertical="top" wrapText="1"/>
    </xf>
    <xf numFmtId="165" fontId="9" fillId="4" borderId="2" xfId="0" applyNumberFormat="1" applyFont="1" applyFill="1" applyBorder="1" applyAlignment="1">
      <alignment horizontal="right" vertical="top" wrapText="1"/>
    </xf>
    <xf numFmtId="166" fontId="11" fillId="0" borderId="0" xfId="0" applyNumberFormat="1" applyFont="1" applyFill="1"/>
    <xf numFmtId="49" fontId="6" fillId="0" borderId="2" xfId="0" applyNumberFormat="1" applyFont="1" applyBorder="1" applyAlignment="1">
      <alignment horizontal="left" vertical="center" wrapText="1"/>
    </xf>
    <xf numFmtId="165" fontId="6" fillId="4" borderId="2" xfId="0" applyNumberFormat="1" applyFont="1" applyFill="1" applyBorder="1" applyAlignment="1">
      <alignment horizontal="right" vertical="top" wrapText="1"/>
    </xf>
    <xf numFmtId="167" fontId="6" fillId="0" borderId="2" xfId="0" applyNumberFormat="1" applyFont="1" applyFill="1" applyBorder="1" applyAlignment="1">
      <alignment vertical="justify"/>
    </xf>
    <xf numFmtId="165" fontId="6" fillId="0" borderId="2" xfId="0" applyNumberFormat="1" applyFont="1" applyFill="1" applyBorder="1" applyAlignment="1">
      <alignment horizontal="right" vertical="top"/>
    </xf>
    <xf numFmtId="165" fontId="6" fillId="4" borderId="2" xfId="0" applyNumberFormat="1" applyFont="1" applyFill="1" applyBorder="1" applyAlignment="1">
      <alignment horizontal="right" vertical="top"/>
    </xf>
    <xf numFmtId="0" fontId="9" fillId="2" borderId="7" xfId="0" applyFont="1" applyFill="1" applyBorder="1" applyAlignment="1">
      <alignment horizontal="center" vertical="top" wrapText="1"/>
    </xf>
    <xf numFmtId="165" fontId="9" fillId="2" borderId="2" xfId="0" applyNumberFormat="1" applyFont="1" applyFill="1" applyBorder="1" applyAlignment="1">
      <alignment horizontal="right" vertical="top" wrapText="1"/>
    </xf>
    <xf numFmtId="165" fontId="9" fillId="0" borderId="0" xfId="0" applyNumberFormat="1" applyFont="1" applyFill="1" applyBorder="1" applyAlignment="1">
      <alignment wrapText="1" shrinkToFit="1"/>
    </xf>
    <xf numFmtId="0" fontId="9" fillId="3" borderId="0" xfId="0" applyFont="1" applyFill="1" applyBorder="1"/>
    <xf numFmtId="0" fontId="9" fillId="3" borderId="0" xfId="0" applyFont="1" applyFill="1"/>
    <xf numFmtId="165" fontId="11" fillId="0" borderId="0" xfId="0" applyNumberFormat="1" applyFont="1"/>
    <xf numFmtId="49" fontId="6" fillId="0" borderId="3" xfId="0" applyNumberFormat="1" applyFont="1" applyBorder="1" applyAlignment="1">
      <alignment vertical="top" wrapText="1"/>
    </xf>
    <xf numFmtId="49" fontId="12" fillId="0" borderId="3" xfId="0" applyNumberFormat="1" applyFont="1" applyBorder="1" applyAlignment="1">
      <alignment horizontal="left" vertical="top" wrapText="1"/>
    </xf>
    <xf numFmtId="49" fontId="12" fillId="0" borderId="2" xfId="0" applyNumberFormat="1" applyFont="1" applyFill="1" applyBorder="1"/>
    <xf numFmtId="0" fontId="14" fillId="0" borderId="0" xfId="0" applyFont="1"/>
    <xf numFmtId="165" fontId="14" fillId="0" borderId="0" xfId="0" applyNumberFormat="1" applyFont="1"/>
    <xf numFmtId="49" fontId="12" fillId="4" borderId="2" xfId="0" applyNumberFormat="1" applyFont="1" applyFill="1" applyBorder="1" applyAlignment="1">
      <alignment vertical="top"/>
    </xf>
    <xf numFmtId="165" fontId="12" fillId="4" borderId="2" xfId="0" applyNumberFormat="1" applyFont="1" applyFill="1" applyBorder="1" applyAlignment="1">
      <alignment horizontal="right" vertical="top" wrapText="1"/>
    </xf>
    <xf numFmtId="165" fontId="11" fillId="4" borderId="0" xfId="0" applyNumberFormat="1" applyFont="1" applyFill="1"/>
    <xf numFmtId="49" fontId="6" fillId="4" borderId="5" xfId="0" applyNumberFormat="1" applyFont="1" applyFill="1" applyBorder="1" applyAlignment="1">
      <alignment vertical="top" wrapText="1"/>
    </xf>
    <xf numFmtId="165" fontId="12" fillId="0" borderId="2" xfId="0" applyNumberFormat="1" applyFont="1" applyFill="1" applyBorder="1" applyAlignment="1">
      <alignment vertical="top" wrapText="1"/>
    </xf>
    <xf numFmtId="49" fontId="6" fillId="4" borderId="2" xfId="0" applyNumberFormat="1" applyFont="1" applyFill="1" applyBorder="1" applyAlignment="1">
      <alignment vertical="top" wrapText="1"/>
    </xf>
    <xf numFmtId="49" fontId="6" fillId="4" borderId="2" xfId="0" applyNumberFormat="1" applyFont="1" applyFill="1" applyBorder="1" applyAlignment="1">
      <alignment horizontal="center" vertical="top" wrapText="1"/>
    </xf>
    <xf numFmtId="49" fontId="12" fillId="4" borderId="2" xfId="0" applyNumberFormat="1" applyFont="1" applyFill="1" applyBorder="1" applyAlignment="1">
      <alignment vertical="top" wrapText="1"/>
    </xf>
    <xf numFmtId="49" fontId="6" fillId="4" borderId="2" xfId="0" applyNumberFormat="1" applyFont="1" applyFill="1" applyBorder="1" applyAlignment="1">
      <alignment horizontal="left" vertical="top" wrapText="1"/>
    </xf>
    <xf numFmtId="0" fontId="1" fillId="0" borderId="2" xfId="0" applyFont="1" applyBorder="1" applyAlignment="1">
      <alignment horizontal="center" vertical="top" wrapText="1"/>
    </xf>
    <xf numFmtId="0" fontId="25" fillId="2" borderId="2" xfId="0" applyFont="1" applyFill="1" applyBorder="1" applyAlignment="1">
      <alignment wrapText="1"/>
    </xf>
    <xf numFmtId="0" fontId="15" fillId="7" borderId="8" xfId="0" applyFont="1" applyFill="1" applyBorder="1" applyAlignment="1">
      <alignment horizontal="center" wrapText="1"/>
    </xf>
    <xf numFmtId="0" fontId="15" fillId="7" borderId="6" xfId="0" applyFont="1" applyFill="1" applyBorder="1" applyAlignment="1">
      <alignment horizontal="center" wrapText="1"/>
    </xf>
    <xf numFmtId="0" fontId="15" fillId="7" borderId="7" xfId="0" applyFont="1" applyFill="1" applyBorder="1" applyAlignment="1">
      <alignment horizontal="center" wrapText="1"/>
    </xf>
    <xf numFmtId="0" fontId="9" fillId="0" borderId="2" xfId="0" applyFont="1" applyFill="1" applyBorder="1" applyAlignment="1">
      <alignment horizontal="center" wrapText="1" shrinkToFit="1"/>
    </xf>
    <xf numFmtId="0" fontId="9" fillId="0" borderId="2" xfId="0" applyFont="1" applyBorder="1" applyAlignment="1">
      <alignment horizontal="center" vertical="top" wrapText="1"/>
    </xf>
    <xf numFmtId="0" fontId="6" fillId="0" borderId="2" xfId="0" applyFont="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49" fontId="6" fillId="4" borderId="3" xfId="0" applyNumberFormat="1" applyFont="1" applyFill="1" applyBorder="1" applyAlignment="1">
      <alignment horizontal="left" vertical="top" wrapText="1"/>
    </xf>
    <xf numFmtId="49" fontId="6" fillId="4" borderId="4" xfId="0" applyNumberFormat="1" applyFont="1" applyFill="1" applyBorder="1" applyAlignment="1">
      <alignment horizontal="left" vertical="top" wrapText="1"/>
    </xf>
    <xf numFmtId="49" fontId="6" fillId="4" borderId="5" xfId="0" applyNumberFormat="1" applyFont="1" applyFill="1" applyBorder="1" applyAlignment="1">
      <alignment horizontal="left" vertical="top" wrapText="1"/>
    </xf>
    <xf numFmtId="49" fontId="6" fillId="4" borderId="3" xfId="0" applyNumberFormat="1" applyFont="1" applyFill="1" applyBorder="1" applyAlignment="1">
      <alignment horizontal="center" vertical="top" wrapText="1"/>
    </xf>
    <xf numFmtId="49" fontId="6" fillId="4" borderId="4" xfId="0" applyNumberFormat="1" applyFont="1" applyFill="1" applyBorder="1" applyAlignment="1">
      <alignment horizontal="center" vertical="top" wrapText="1"/>
    </xf>
    <xf numFmtId="49" fontId="6" fillId="4" borderId="5" xfId="0" applyNumberFormat="1" applyFont="1" applyFill="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2" fillId="0" borderId="8"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9" fillId="5" borderId="8" xfId="0" applyFont="1" applyFill="1" applyBorder="1" applyAlignment="1">
      <alignment horizontal="center" vertical="justify"/>
    </xf>
    <xf numFmtId="0" fontId="9" fillId="5" borderId="6" xfId="0" applyFont="1" applyFill="1" applyBorder="1" applyAlignment="1">
      <alignment horizontal="center" vertical="justify"/>
    </xf>
    <xf numFmtId="0" fontId="9" fillId="5" borderId="7" xfId="0" applyFont="1" applyFill="1" applyBorder="1" applyAlignment="1">
      <alignment horizontal="center" vertical="justify"/>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3" borderId="8" xfId="0" applyFont="1" applyFill="1" applyBorder="1" applyAlignment="1">
      <alignment horizontal="center" vertical="justify" wrapText="1"/>
    </xf>
    <xf numFmtId="0" fontId="9" fillId="3" borderId="6" xfId="0" applyFont="1" applyFill="1" applyBorder="1" applyAlignment="1">
      <alignment horizontal="center" vertical="justify" wrapText="1"/>
    </xf>
    <xf numFmtId="0" fontId="9" fillId="3" borderId="7" xfId="0" applyFont="1" applyFill="1" applyBorder="1" applyAlignment="1">
      <alignment horizontal="center" vertical="justify" wrapText="1"/>
    </xf>
    <xf numFmtId="0" fontId="22" fillId="0" borderId="13" xfId="0" applyFont="1" applyFill="1" applyBorder="1" applyAlignment="1">
      <alignment horizontal="center" wrapText="1"/>
    </xf>
    <xf numFmtId="0" fontId="22" fillId="0" borderId="6" xfId="0" applyFont="1" applyFill="1" applyBorder="1" applyAlignment="1">
      <alignment horizontal="center" wrapText="1"/>
    </xf>
    <xf numFmtId="0" fontId="22" fillId="0" borderId="7" xfId="0" applyFont="1" applyFill="1" applyBorder="1" applyAlignment="1">
      <alignment horizontal="center" wrapText="1"/>
    </xf>
    <xf numFmtId="0" fontId="11" fillId="0" borderId="9" xfId="0" applyFont="1" applyFill="1"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5" xfId="0" applyBorder="1" applyAlignment="1">
      <alignment vertical="top"/>
    </xf>
    <xf numFmtId="0" fontId="1" fillId="0" borderId="3" xfId="0" applyFont="1" applyFill="1" applyBorder="1" applyAlignment="1">
      <alignment vertical="top" wrapText="1"/>
    </xf>
    <xf numFmtId="0" fontId="1" fillId="0" borderId="5"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49" fontId="26" fillId="0" borderId="3" xfId="0" applyNumberFormat="1" applyFont="1" applyFill="1" applyBorder="1" applyAlignment="1">
      <alignment horizontal="left" vertical="top" wrapText="1"/>
    </xf>
    <xf numFmtId="49" fontId="26" fillId="0" borderId="4" xfId="0" applyNumberFormat="1" applyFont="1" applyFill="1" applyBorder="1" applyAlignment="1">
      <alignment horizontal="left" vertical="top" wrapText="1"/>
    </xf>
    <xf numFmtId="49" fontId="26" fillId="0" borderId="5" xfId="0" applyNumberFormat="1" applyFont="1" applyFill="1" applyBorder="1" applyAlignment="1">
      <alignment horizontal="left" vertical="top" wrapText="1"/>
    </xf>
    <xf numFmtId="0" fontId="3" fillId="0" borderId="3" xfId="0" applyFont="1" applyFill="1" applyBorder="1" applyAlignment="1"/>
    <xf numFmtId="0" fontId="0" fillId="0" borderId="4" xfId="0" applyBorder="1" applyAlignment="1"/>
    <xf numFmtId="0" fontId="0" fillId="0" borderId="5" xfId="0" applyBorder="1" applyAlignment="1"/>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6" fillId="0" borderId="5" xfId="0" applyFont="1" applyBorder="1" applyAlignment="1">
      <alignment horizontal="center" vertical="top" wrapText="1"/>
    </xf>
    <xf numFmtId="0" fontId="15" fillId="2" borderId="6" xfId="0" applyFont="1" applyFill="1" applyBorder="1" applyAlignment="1">
      <alignment horizontal="center" vertical="top" wrapText="1"/>
    </xf>
    <xf numFmtId="0" fontId="15" fillId="2" borderId="7" xfId="0"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21" fillId="5" borderId="6" xfId="0" applyFont="1" applyFill="1" applyBorder="1" applyAlignment="1">
      <alignment horizontal="center" vertical="top" wrapText="1"/>
    </xf>
    <xf numFmtId="0" fontId="21" fillId="5" borderId="7" xfId="0" applyFont="1" applyFill="1" applyBorder="1" applyAlignment="1">
      <alignment horizontal="center" vertical="top" wrapText="1"/>
    </xf>
    <xf numFmtId="0" fontId="4" fillId="0" borderId="0" xfId="0" applyFont="1" applyAlignment="1">
      <alignment horizontal="center" vertical="justify"/>
    </xf>
    <xf numFmtId="0" fontId="5" fillId="0" borderId="1" xfId="0" applyFont="1" applyBorder="1" applyAlignment="1">
      <alignment horizontal="center" vertical="justify"/>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164" fontId="6" fillId="0" borderId="3" xfId="1" applyFont="1" applyFill="1" applyBorder="1" applyAlignment="1">
      <alignment horizontal="center" vertical="center" wrapText="1"/>
    </xf>
    <xf numFmtId="164" fontId="6" fillId="0" borderId="4" xfId="1" applyFont="1" applyFill="1" applyBorder="1" applyAlignment="1">
      <alignment horizontal="center" vertical="center" wrapText="1"/>
    </xf>
    <xf numFmtId="164" fontId="6" fillId="0" borderId="5" xfId="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49" fontId="6" fillId="0" borderId="3"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xf>
    <xf numFmtId="49" fontId="6" fillId="0" borderId="5" xfId="0" applyNumberFormat="1" applyFont="1" applyFill="1" applyBorder="1" applyAlignment="1">
      <alignment horizontal="center" vertical="top"/>
    </xf>
    <xf numFmtId="0" fontId="9" fillId="0" borderId="5" xfId="0" applyFont="1" applyBorder="1" applyAlignment="1">
      <alignment horizontal="center" vertical="top" wrapText="1"/>
    </xf>
    <xf numFmtId="0" fontId="19" fillId="0" borderId="5" xfId="0" applyFont="1" applyFill="1" applyBorder="1" applyAlignment="1">
      <alignment horizontal="center" vertical="top" wrapText="1"/>
    </xf>
    <xf numFmtId="0" fontId="8" fillId="0" borderId="5" xfId="0" applyFont="1" applyFill="1" applyBorder="1" applyAlignment="1">
      <alignment horizontal="center" vertical="top" wrapText="1"/>
    </xf>
    <xf numFmtId="0" fontId="9" fillId="0" borderId="3" xfId="0" applyNumberFormat="1" applyFont="1" applyFill="1" applyBorder="1" applyAlignment="1">
      <alignment horizontal="center" vertical="top" wrapText="1"/>
    </xf>
    <xf numFmtId="0" fontId="9" fillId="0" borderId="4" xfId="0" applyNumberFormat="1" applyFont="1" applyFill="1" applyBorder="1" applyAlignment="1">
      <alignment horizontal="center" vertical="top" wrapText="1"/>
    </xf>
    <xf numFmtId="0" fontId="9" fillId="0" borderId="5" xfId="0" applyNumberFormat="1" applyFont="1" applyFill="1" applyBorder="1" applyAlignment="1">
      <alignment horizontal="center" vertical="top" wrapText="1"/>
    </xf>
    <xf numFmtId="0" fontId="12" fillId="0" borderId="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top" wrapText="1"/>
    </xf>
    <xf numFmtId="0" fontId="12" fillId="0" borderId="6" xfId="0" applyFont="1" applyFill="1" applyBorder="1" applyAlignment="1">
      <alignment horizontal="center"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12"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8" xfId="0" applyFont="1" applyFill="1" applyBorder="1" applyAlignment="1">
      <alignment horizontal="center" wrapText="1"/>
    </xf>
    <xf numFmtId="0" fontId="19" fillId="0" borderId="4" xfId="0" applyFont="1" applyFill="1" applyBorder="1" applyAlignment="1">
      <alignment vertical="top"/>
    </xf>
    <xf numFmtId="0" fontId="19" fillId="0" borderId="5" xfId="0" applyFont="1" applyFill="1" applyBorder="1" applyAlignment="1">
      <alignment vertical="top"/>
    </xf>
    <xf numFmtId="0" fontId="9" fillId="0" borderId="3" xfId="0" applyFont="1" applyFill="1" applyBorder="1" applyAlignment="1">
      <alignment vertical="top" wrapText="1"/>
    </xf>
    <xf numFmtId="0" fontId="19" fillId="0" borderId="4" xfId="0" applyFont="1" applyFill="1" applyBorder="1" applyAlignment="1">
      <alignment vertical="top" wrapText="1"/>
    </xf>
    <xf numFmtId="0" fontId="19" fillId="0" borderId="5" xfId="0" applyFont="1" applyFill="1" applyBorder="1" applyAlignment="1">
      <alignment vertical="top" wrapText="1"/>
    </xf>
    <xf numFmtId="0" fontId="9"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11" xfId="0" applyFont="1" applyBorder="1" applyAlignment="1">
      <alignment horizontal="center" wrapText="1"/>
    </xf>
    <xf numFmtId="0" fontId="8" fillId="0" borderId="4" xfId="0" applyFont="1" applyFill="1" applyBorder="1" applyAlignment="1">
      <alignment horizontal="center" vertical="top" wrapText="1"/>
    </xf>
    <xf numFmtId="2" fontId="9" fillId="0" borderId="3" xfId="0" applyNumberFormat="1"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top" wrapText="1"/>
    </xf>
    <xf numFmtId="0" fontId="9" fillId="0" borderId="5" xfId="0" applyNumberFormat="1" applyFont="1" applyFill="1" applyBorder="1" applyAlignment="1">
      <alignment horizontal="left" vertical="top" wrapText="1"/>
    </xf>
    <xf numFmtId="49" fontId="9" fillId="0" borderId="3" xfId="0" applyNumberFormat="1" applyFont="1" applyFill="1" applyBorder="1" applyAlignment="1">
      <alignment horizontal="center" vertical="top" wrapText="1"/>
    </xf>
    <xf numFmtId="49" fontId="9" fillId="0" borderId="5" xfId="0" applyNumberFormat="1" applyFont="1" applyFill="1" applyBorder="1" applyAlignment="1">
      <alignment horizontal="center" vertical="top" wrapText="1"/>
    </xf>
    <xf numFmtId="0" fontId="9" fillId="0" borderId="2" xfId="0" applyFont="1" applyFill="1" applyBorder="1" applyAlignment="1">
      <alignment horizontal="left" vertical="center" wrapText="1"/>
    </xf>
    <xf numFmtId="0" fontId="9" fillId="0" borderId="8"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165" fontId="15" fillId="4" borderId="2" xfId="0" applyNumberFormat="1" applyFont="1" applyFill="1" applyBorder="1" applyAlignment="1">
      <alignment horizontal="center" vertical="center" wrapText="1"/>
    </xf>
    <xf numFmtId="0" fontId="35" fillId="4" borderId="8" xfId="0" applyFont="1" applyFill="1" applyBorder="1" applyAlignment="1">
      <alignment horizontal="center" wrapText="1"/>
    </xf>
    <xf numFmtId="0" fontId="35" fillId="4" borderId="6" xfId="0" applyFont="1" applyFill="1" applyBorder="1" applyAlignment="1">
      <alignment horizontal="center" wrapText="1"/>
    </xf>
    <xf numFmtId="0" fontId="15" fillId="0" borderId="2" xfId="0" applyFont="1" applyBorder="1" applyAlignment="1">
      <alignment horizontal="center"/>
    </xf>
    <xf numFmtId="0" fontId="15" fillId="4" borderId="3"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4" xfId="0" applyFont="1" applyFill="1" applyBorder="1" applyAlignment="1">
      <alignment horizontal="center" vertical="center" wrapText="1"/>
    </xf>
    <xf numFmtId="167" fontId="36" fillId="0" borderId="2" xfId="0" applyNumberFormat="1" applyFont="1" applyFill="1" applyBorder="1" applyAlignment="1">
      <alignment horizontal="center" vertical="distributed"/>
    </xf>
    <xf numFmtId="49" fontId="36" fillId="0" borderId="2" xfId="0" applyNumberFormat="1" applyFont="1" applyFill="1" applyBorder="1"/>
    <xf numFmtId="49" fontId="15" fillId="0" borderId="2" xfId="0"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0" fontId="34" fillId="0" borderId="0" xfId="0" applyFont="1" applyFill="1"/>
    <xf numFmtId="167" fontId="37" fillId="4" borderId="2" xfId="0" applyNumberFormat="1" applyFont="1" applyFill="1" applyBorder="1" applyAlignment="1">
      <alignment horizontal="center" vertical="distributed" wrapText="1"/>
    </xf>
    <xf numFmtId="49" fontId="38" fillId="4" borderId="2" xfId="0" applyNumberFormat="1" applyFont="1" applyFill="1" applyBorder="1" applyAlignment="1">
      <alignment wrapText="1"/>
    </xf>
    <xf numFmtId="167" fontId="37" fillId="4" borderId="2" xfId="0" applyNumberFormat="1" applyFont="1" applyFill="1" applyBorder="1" applyAlignment="1">
      <alignment horizontal="center" vertical="center" wrapText="1"/>
    </xf>
    <xf numFmtId="49" fontId="39" fillId="4" borderId="2" xfId="0" applyNumberFormat="1" applyFont="1" applyFill="1" applyBorder="1" applyAlignment="1">
      <alignment horizontal="center" vertical="center" wrapText="1"/>
    </xf>
    <xf numFmtId="49" fontId="39" fillId="4" borderId="2" xfId="0" applyNumberFormat="1" applyFont="1" applyFill="1" applyBorder="1" applyAlignment="1">
      <alignment horizontal="center" vertical="center"/>
    </xf>
    <xf numFmtId="165" fontId="39" fillId="4" borderId="2" xfId="0" applyNumberFormat="1" applyFont="1" applyFill="1" applyBorder="1" applyAlignment="1">
      <alignment horizontal="center" vertical="center" wrapText="1"/>
    </xf>
    <xf numFmtId="4" fontId="3" fillId="0" borderId="0" xfId="0" applyNumberFormat="1" applyFont="1" applyFill="1"/>
    <xf numFmtId="49" fontId="37" fillId="4" borderId="2" xfId="0" applyNumberFormat="1" applyFont="1" applyFill="1" applyBorder="1" applyAlignment="1">
      <alignment horizontal="center" vertical="center" wrapText="1"/>
    </xf>
    <xf numFmtId="167" fontId="37" fillId="4" borderId="3" xfId="0" applyNumberFormat="1" applyFont="1" applyFill="1" applyBorder="1" applyAlignment="1">
      <alignment horizontal="left" vertical="distributed" wrapText="1"/>
    </xf>
    <xf numFmtId="49" fontId="37" fillId="4" borderId="5" xfId="0" applyNumberFormat="1" applyFont="1" applyFill="1" applyBorder="1" applyAlignment="1">
      <alignment horizontal="center" vertical="center" wrapText="1"/>
    </xf>
    <xf numFmtId="4" fontId="39" fillId="4" borderId="2" xfId="0" applyNumberFormat="1" applyFont="1" applyFill="1" applyBorder="1" applyAlignment="1">
      <alignment horizontal="center" vertical="center" wrapText="1"/>
    </xf>
    <xf numFmtId="167" fontId="40" fillId="0" borderId="5" xfId="0" applyNumberFormat="1" applyFont="1" applyFill="1" applyBorder="1" applyAlignment="1">
      <alignment vertical="center" wrapText="1"/>
    </xf>
    <xf numFmtId="49" fontId="39" fillId="0" borderId="5" xfId="0" applyNumberFormat="1" applyFont="1" applyFill="1" applyBorder="1" applyAlignment="1">
      <alignment horizontal="center" wrapText="1"/>
    </xf>
    <xf numFmtId="49" fontId="39" fillId="0" borderId="5"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39" fillId="0" borderId="2"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167" fontId="37" fillId="4" borderId="2" xfId="0" applyNumberFormat="1" applyFont="1" applyFill="1" applyBorder="1" applyAlignment="1">
      <alignment vertical="center" wrapText="1"/>
    </xf>
    <xf numFmtId="49" fontId="37" fillId="4" borderId="2" xfId="0" applyNumberFormat="1" applyFont="1" applyFill="1" applyBorder="1" applyAlignment="1">
      <alignment wrapText="1"/>
    </xf>
    <xf numFmtId="167" fontId="37" fillId="4" borderId="3" xfId="0" applyNumberFormat="1" applyFont="1" applyFill="1" applyBorder="1" applyAlignment="1">
      <alignment horizontal="left" vertical="center" wrapText="1"/>
    </xf>
    <xf numFmtId="49" fontId="37" fillId="4" borderId="3" xfId="0" applyNumberFormat="1" applyFont="1" applyFill="1" applyBorder="1" applyAlignment="1">
      <alignment horizontal="center" vertical="center" wrapText="1"/>
    </xf>
    <xf numFmtId="167" fontId="37" fillId="4" borderId="3" xfId="0" applyNumberFormat="1" applyFont="1" applyFill="1" applyBorder="1" applyAlignment="1">
      <alignment horizontal="center" vertical="center" wrapText="1"/>
    </xf>
    <xf numFmtId="167" fontId="37" fillId="4" borderId="3" xfId="0" applyNumberFormat="1" applyFont="1" applyFill="1" applyBorder="1" applyAlignment="1">
      <alignment horizontal="center" vertical="center" wrapText="1"/>
    </xf>
    <xf numFmtId="49" fontId="37" fillId="4" borderId="3" xfId="0" applyNumberFormat="1" applyFont="1" applyFill="1" applyBorder="1" applyAlignment="1">
      <alignment horizontal="center" wrapText="1"/>
    </xf>
    <xf numFmtId="49" fontId="37" fillId="4" borderId="3" xfId="0" applyNumberFormat="1" applyFont="1" applyFill="1" applyBorder="1" applyAlignment="1">
      <alignment horizontal="center" vertical="center" wrapText="1"/>
    </xf>
    <xf numFmtId="167" fontId="37" fillId="4" borderId="4" xfId="0" applyNumberFormat="1" applyFont="1" applyFill="1" applyBorder="1" applyAlignment="1">
      <alignment horizontal="center" vertical="center" wrapText="1"/>
    </xf>
    <xf numFmtId="49" fontId="37" fillId="4" borderId="4" xfId="0" applyNumberFormat="1" applyFont="1" applyFill="1" applyBorder="1" applyAlignment="1">
      <alignment horizontal="center" wrapText="1"/>
    </xf>
    <xf numFmtId="49" fontId="37" fillId="4" borderId="4" xfId="0" applyNumberFormat="1" applyFont="1" applyFill="1" applyBorder="1" applyAlignment="1">
      <alignment horizontal="center" vertical="center" wrapText="1"/>
    </xf>
    <xf numFmtId="167" fontId="37" fillId="4" borderId="5" xfId="0" applyNumberFormat="1" applyFont="1" applyFill="1" applyBorder="1" applyAlignment="1">
      <alignment horizontal="center" vertical="center" wrapText="1"/>
    </xf>
    <xf numFmtId="49" fontId="37" fillId="4" borderId="5" xfId="0" applyNumberFormat="1" applyFont="1" applyFill="1" applyBorder="1" applyAlignment="1">
      <alignment horizontal="center" wrapText="1"/>
    </xf>
    <xf numFmtId="49" fontId="37" fillId="4" borderId="5" xfId="0" applyNumberFormat="1" applyFont="1" applyFill="1" applyBorder="1" applyAlignment="1">
      <alignment horizontal="center" vertical="center" wrapText="1"/>
    </xf>
    <xf numFmtId="49" fontId="37" fillId="4" borderId="3" xfId="0" applyNumberFormat="1" applyFont="1" applyFill="1" applyBorder="1" applyAlignment="1">
      <alignment wrapText="1"/>
    </xf>
    <xf numFmtId="49" fontId="37" fillId="4" borderId="4" xfId="0" applyNumberFormat="1" applyFont="1" applyFill="1" applyBorder="1" applyAlignment="1">
      <alignment horizontal="center" vertical="center" wrapText="1"/>
    </xf>
    <xf numFmtId="167" fontId="37" fillId="4" borderId="3" xfId="0" applyNumberFormat="1" applyFont="1" applyFill="1" applyBorder="1" applyAlignment="1">
      <alignment horizontal="center" vertical="distributed" wrapText="1"/>
    </xf>
    <xf numFmtId="167" fontId="37" fillId="4" borderId="5" xfId="0" applyNumberFormat="1" applyFont="1" applyFill="1" applyBorder="1" applyAlignment="1">
      <alignment horizontal="center" vertical="distributed" wrapText="1"/>
    </xf>
    <xf numFmtId="49" fontId="37" fillId="4" borderId="5" xfId="0" applyNumberFormat="1" applyFont="1" applyFill="1" applyBorder="1" applyAlignment="1">
      <alignment wrapText="1"/>
    </xf>
    <xf numFmtId="167" fontId="1" fillId="4" borderId="3" xfId="0" applyNumberFormat="1" applyFont="1" applyFill="1" applyBorder="1" applyAlignment="1">
      <alignment horizontal="left" vertical="distributed" wrapText="1"/>
    </xf>
    <xf numFmtId="49" fontId="37" fillId="4" borderId="3" xfId="0" applyNumberFormat="1" applyFont="1" applyFill="1" applyBorder="1" applyAlignment="1">
      <alignment horizontal="center" wrapText="1"/>
    </xf>
    <xf numFmtId="167" fontId="39" fillId="4" borderId="2" xfId="0" applyNumberFormat="1" applyFont="1" applyFill="1" applyBorder="1" applyAlignment="1">
      <alignment horizontal="center" vertical="distributed" wrapText="1"/>
    </xf>
    <xf numFmtId="49" fontId="41" fillId="4" borderId="2" xfId="0" applyNumberFormat="1" applyFont="1" applyFill="1" applyBorder="1" applyAlignment="1">
      <alignment wrapText="1"/>
    </xf>
    <xf numFmtId="49" fontId="15" fillId="4" borderId="2" xfId="0" applyNumberFormat="1" applyFont="1" applyFill="1" applyBorder="1" applyAlignment="1">
      <alignment horizontal="center" vertical="center" wrapText="1"/>
    </xf>
    <xf numFmtId="49" fontId="15" fillId="4" borderId="2" xfId="0" applyNumberFormat="1" applyFont="1" applyFill="1" applyBorder="1" applyAlignment="1">
      <alignment horizontal="center" vertical="center"/>
    </xf>
    <xf numFmtId="167" fontId="37" fillId="4" borderId="3" xfId="0" applyNumberFormat="1" applyFont="1" applyFill="1" applyBorder="1" applyAlignment="1">
      <alignment vertical="center" wrapText="1"/>
    </xf>
    <xf numFmtId="49" fontId="39" fillId="4" borderId="3" xfId="0" applyNumberFormat="1" applyFont="1" applyFill="1" applyBorder="1" applyAlignment="1">
      <alignment horizontal="center" wrapText="1"/>
    </xf>
    <xf numFmtId="167" fontId="37" fillId="4" borderId="5" xfId="0" applyNumberFormat="1" applyFont="1" applyFill="1" applyBorder="1" applyAlignment="1">
      <alignment horizontal="center" vertical="distributed" wrapText="1"/>
    </xf>
    <xf numFmtId="49" fontId="39" fillId="4" borderId="5" xfId="0" applyNumberFormat="1" applyFont="1" applyFill="1" applyBorder="1" applyAlignment="1">
      <alignment horizontal="center" wrapText="1"/>
    </xf>
    <xf numFmtId="167" fontId="41" fillId="4" borderId="2" xfId="0" applyNumberFormat="1" applyFont="1" applyFill="1" applyBorder="1" applyAlignment="1">
      <alignment horizontal="center" vertical="distributed" wrapText="1"/>
    </xf>
    <xf numFmtId="49" fontId="39" fillId="4" borderId="2" xfId="0" applyNumberFormat="1" applyFont="1" applyFill="1" applyBorder="1" applyAlignment="1">
      <alignment wrapText="1"/>
    </xf>
    <xf numFmtId="165" fontId="3" fillId="0" borderId="0" xfId="0" applyNumberFormat="1" applyFont="1" applyFill="1"/>
    <xf numFmtId="49" fontId="39" fillId="4" borderId="3" xfId="0" applyNumberFormat="1" applyFont="1" applyFill="1" applyBorder="1" applyAlignment="1">
      <alignment wrapText="1"/>
    </xf>
    <xf numFmtId="167" fontId="37" fillId="4" borderId="3" xfId="3" applyNumberFormat="1" applyFont="1" applyFill="1" applyBorder="1" applyAlignment="1" applyProtection="1">
      <alignment horizontal="center" vertical="distributed" wrapText="1"/>
      <protection hidden="1"/>
    </xf>
    <xf numFmtId="0" fontId="37" fillId="4" borderId="2" xfId="3" applyNumberFormat="1" applyFont="1" applyFill="1" applyBorder="1" applyAlignment="1" applyProtection="1">
      <alignment wrapText="1"/>
      <protection hidden="1"/>
    </xf>
    <xf numFmtId="14" fontId="37" fillId="4" borderId="3" xfId="3" applyNumberFormat="1" applyFont="1" applyFill="1" applyBorder="1" applyAlignment="1" applyProtection="1">
      <alignment horizontal="center" vertical="center" wrapText="1"/>
      <protection hidden="1"/>
    </xf>
    <xf numFmtId="167" fontId="37" fillId="4" borderId="4" xfId="3" applyNumberFormat="1" applyFont="1" applyFill="1" applyBorder="1" applyAlignment="1" applyProtection="1">
      <alignment horizontal="center" vertical="distributed" wrapText="1"/>
      <protection hidden="1"/>
    </xf>
    <xf numFmtId="0" fontId="41" fillId="4" borderId="2" xfId="3" applyNumberFormat="1" applyFont="1" applyFill="1" applyBorder="1" applyAlignment="1" applyProtection="1">
      <alignment wrapText="1"/>
      <protection hidden="1"/>
    </xf>
    <xf numFmtId="14" fontId="37" fillId="4" borderId="4" xfId="3" applyNumberFormat="1" applyFont="1" applyFill="1" applyBorder="1" applyAlignment="1" applyProtection="1">
      <alignment horizontal="center" vertical="center" wrapText="1"/>
      <protection hidden="1"/>
    </xf>
    <xf numFmtId="0" fontId="39" fillId="4" borderId="2" xfId="3" applyNumberFormat="1" applyFont="1" applyFill="1" applyBorder="1" applyAlignment="1" applyProtection="1">
      <alignment wrapText="1"/>
      <protection hidden="1"/>
    </xf>
    <xf numFmtId="167" fontId="37" fillId="4" borderId="3" xfId="0" applyNumberFormat="1" applyFont="1" applyFill="1" applyBorder="1" applyAlignment="1">
      <alignment horizontal="center" vertical="distributed" wrapText="1"/>
    </xf>
    <xf numFmtId="49" fontId="41" fillId="4" borderId="3" xfId="0" applyNumberFormat="1" applyFont="1" applyFill="1" applyBorder="1" applyAlignment="1">
      <alignment horizontal="center" wrapText="1"/>
    </xf>
    <xf numFmtId="167" fontId="37" fillId="4" borderId="4" xfId="0" applyNumberFormat="1" applyFont="1" applyFill="1" applyBorder="1" applyAlignment="1">
      <alignment horizontal="center" vertical="distributed" wrapText="1"/>
    </xf>
    <xf numFmtId="49" fontId="41" fillId="4" borderId="4" xfId="0" applyNumberFormat="1" applyFont="1" applyFill="1" applyBorder="1" applyAlignment="1">
      <alignment horizontal="center" wrapText="1"/>
    </xf>
    <xf numFmtId="167" fontId="37" fillId="4" borderId="4" xfId="0" applyNumberFormat="1" applyFont="1" applyFill="1" applyBorder="1" applyAlignment="1">
      <alignment horizontal="center" vertical="distributed" wrapText="1"/>
    </xf>
    <xf numFmtId="49" fontId="39" fillId="0" borderId="2" xfId="0" applyNumberFormat="1" applyFont="1" applyFill="1" applyBorder="1" applyAlignment="1">
      <alignment horizontal="center" vertical="center"/>
    </xf>
    <xf numFmtId="165" fontId="39" fillId="0" borderId="2" xfId="0" applyNumberFormat="1" applyFont="1" applyFill="1" applyBorder="1" applyAlignment="1">
      <alignment horizontal="center" vertical="center" wrapText="1"/>
    </xf>
    <xf numFmtId="49" fontId="41" fillId="4" borderId="2" xfId="0" applyNumberFormat="1" applyFont="1" applyFill="1" applyBorder="1" applyAlignment="1">
      <alignment horizontal="center" wrapText="1"/>
    </xf>
    <xf numFmtId="49" fontId="41" fillId="4" borderId="2" xfId="0" applyNumberFormat="1" applyFont="1" applyFill="1" applyBorder="1" applyAlignment="1">
      <alignment horizontal="center" vertical="center" wrapText="1"/>
    </xf>
    <xf numFmtId="49" fontId="41" fillId="4" borderId="2" xfId="0" applyNumberFormat="1" applyFont="1" applyFill="1" applyBorder="1" applyAlignment="1">
      <alignment horizontal="center" vertical="center"/>
    </xf>
    <xf numFmtId="49" fontId="39" fillId="4" borderId="4" xfId="0" applyNumberFormat="1" applyFont="1" applyFill="1" applyBorder="1" applyAlignment="1">
      <alignment horizontal="center" wrapText="1"/>
    </xf>
    <xf numFmtId="49" fontId="39" fillId="4" borderId="4" xfId="0" applyNumberFormat="1" applyFont="1" applyFill="1" applyBorder="1" applyAlignment="1">
      <alignment horizontal="center" vertical="center" wrapText="1"/>
    </xf>
    <xf numFmtId="49" fontId="39" fillId="4" borderId="3" xfId="0" applyNumberFormat="1" applyFont="1" applyFill="1" applyBorder="1" applyAlignment="1">
      <alignment horizontal="center" vertical="center" wrapText="1"/>
    </xf>
    <xf numFmtId="49" fontId="39" fillId="4" borderId="3" xfId="0" applyNumberFormat="1" applyFont="1" applyFill="1" applyBorder="1" applyAlignment="1">
      <alignment horizontal="center" vertical="center"/>
    </xf>
    <xf numFmtId="165" fontId="39" fillId="4" borderId="3" xfId="0" applyNumberFormat="1" applyFont="1" applyFill="1" applyBorder="1" applyAlignment="1">
      <alignment horizontal="center" vertical="center" wrapText="1"/>
    </xf>
    <xf numFmtId="0" fontId="15" fillId="4" borderId="5" xfId="0" applyFont="1" applyFill="1" applyBorder="1" applyAlignment="1">
      <alignment horizontal="center" vertical="center" wrapText="1"/>
    </xf>
    <xf numFmtId="0" fontId="39" fillId="4" borderId="2" xfId="0" applyFont="1" applyFill="1" applyBorder="1" applyAlignment="1">
      <alignment wrapText="1"/>
    </xf>
    <xf numFmtId="0" fontId="1" fillId="0" borderId="0" xfId="0" applyFont="1" applyFill="1" applyBorder="1" applyAlignment="1">
      <alignment vertical="top" wrapText="1"/>
    </xf>
    <xf numFmtId="0" fontId="3" fillId="0" borderId="0" xfId="0" applyFont="1" applyFill="1" applyBorder="1"/>
    <xf numFmtId="0" fontId="15" fillId="4" borderId="2" xfId="0" applyFont="1" applyFill="1" applyBorder="1" applyAlignment="1">
      <alignment horizontal="center" vertical="center" wrapText="1"/>
    </xf>
    <xf numFmtId="167" fontId="31" fillId="4" borderId="2" xfId="0" applyNumberFormat="1" applyFont="1" applyFill="1" applyBorder="1" applyAlignment="1">
      <alignment horizontal="center" vertical="center" wrapText="1"/>
    </xf>
    <xf numFmtId="49" fontId="42" fillId="4" borderId="2" xfId="0" applyNumberFormat="1" applyFont="1" applyFill="1" applyBorder="1" applyAlignment="1">
      <alignment horizontal="center" vertical="center" wrapText="1"/>
    </xf>
    <xf numFmtId="0" fontId="31" fillId="4" borderId="2" xfId="3" applyNumberFormat="1" applyFont="1" applyFill="1" applyBorder="1" applyAlignment="1" applyProtection="1">
      <alignment horizontal="center" vertical="center" wrapText="1"/>
      <protection hidden="1"/>
    </xf>
    <xf numFmtId="49" fontId="37" fillId="4" borderId="4" xfId="0" applyNumberFormat="1" applyFont="1" applyFill="1" applyBorder="1" applyAlignment="1">
      <alignment horizontal="center" wrapText="1"/>
    </xf>
    <xf numFmtId="0" fontId="15" fillId="0" borderId="3" xfId="0" applyFont="1" applyFill="1" applyBorder="1" applyAlignment="1">
      <alignment horizontal="center" vertical="center" wrapText="1"/>
    </xf>
    <xf numFmtId="167" fontId="31" fillId="0" borderId="2" xfId="0" applyNumberFormat="1" applyFont="1" applyFill="1" applyBorder="1" applyAlignment="1">
      <alignment horizontal="center" vertical="center" wrapText="1"/>
    </xf>
    <xf numFmtId="49" fontId="31" fillId="0" borderId="2" xfId="0" applyNumberFormat="1" applyFont="1" applyFill="1" applyBorder="1" applyAlignment="1">
      <alignment wrapText="1"/>
    </xf>
    <xf numFmtId="165" fontId="15" fillId="4" borderId="2" xfId="0" applyNumberFormat="1" applyFont="1" applyFill="1" applyBorder="1" applyAlignment="1">
      <alignment horizontal="center" vertical="center"/>
    </xf>
    <xf numFmtId="0" fontId="15" fillId="4" borderId="5" xfId="0" applyFont="1" applyFill="1" applyBorder="1" applyAlignment="1">
      <alignment horizontal="center" vertical="center"/>
    </xf>
    <xf numFmtId="0" fontId="15" fillId="0" borderId="5" xfId="0" applyFont="1" applyFill="1" applyBorder="1" applyAlignment="1">
      <alignment horizontal="center" vertical="center" wrapText="1"/>
    </xf>
    <xf numFmtId="167" fontId="31" fillId="0" borderId="2" xfId="0" applyNumberFormat="1" applyFont="1" applyFill="1" applyBorder="1" applyAlignment="1">
      <alignment horizontal="center" vertical="distributed" wrapText="1"/>
    </xf>
    <xf numFmtId="0" fontId="31" fillId="0" borderId="2" xfId="3" applyNumberFormat="1" applyFont="1" applyFill="1" applyBorder="1" applyAlignment="1" applyProtection="1">
      <alignment horizontal="center" vertical="center" wrapText="1"/>
      <protection hidden="1"/>
    </xf>
    <xf numFmtId="165" fontId="39" fillId="4" borderId="2" xfId="0" applyNumberFormat="1"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2" xfId="0" applyFont="1" applyFill="1" applyBorder="1" applyAlignment="1">
      <alignment horizontal="center" vertical="center" wrapText="1"/>
    </xf>
    <xf numFmtId="49" fontId="37" fillId="4" borderId="2" xfId="0" applyNumberFormat="1" applyFont="1" applyFill="1" applyBorder="1" applyAlignment="1">
      <alignment horizontal="center" wrapText="1"/>
    </xf>
    <xf numFmtId="0" fontId="15" fillId="4" borderId="15" xfId="0" applyFont="1" applyFill="1" applyBorder="1" applyAlignment="1">
      <alignment horizontal="center" vertical="center" wrapText="1"/>
    </xf>
    <xf numFmtId="49" fontId="39" fillId="4" borderId="5" xfId="0" applyNumberFormat="1" applyFont="1" applyFill="1" applyBorder="1" applyAlignment="1">
      <alignment wrapText="1"/>
    </xf>
    <xf numFmtId="49" fontId="39" fillId="4" borderId="3" xfId="0" applyNumberFormat="1" applyFont="1" applyFill="1" applyBorder="1" applyAlignment="1">
      <alignment horizontal="center" wrapText="1"/>
    </xf>
    <xf numFmtId="49" fontId="39" fillId="4" borderId="5" xfId="0" applyNumberFormat="1" applyFont="1" applyFill="1" applyBorder="1" applyAlignment="1">
      <alignment horizontal="center" wrapText="1"/>
    </xf>
    <xf numFmtId="0" fontId="15" fillId="4" borderId="3" xfId="0" applyFont="1" applyFill="1" applyBorder="1" applyAlignment="1">
      <alignment horizontal="center" vertical="center" wrapText="1"/>
    </xf>
    <xf numFmtId="165" fontId="15" fillId="4" borderId="8" xfId="0" applyNumberFormat="1" applyFont="1" applyFill="1" applyBorder="1" applyAlignment="1">
      <alignment horizontal="center" vertical="center" wrapText="1"/>
    </xf>
    <xf numFmtId="165" fontId="39" fillId="4" borderId="0" xfId="0" applyNumberFormat="1" applyFont="1" applyFill="1" applyBorder="1" applyAlignment="1">
      <alignment horizontal="center" vertical="center" wrapText="1"/>
    </xf>
    <xf numFmtId="0" fontId="15" fillId="4" borderId="3" xfId="0" applyFont="1" applyFill="1" applyBorder="1" applyAlignment="1">
      <alignment horizontal="center" vertical="top" wrapText="1"/>
    </xf>
    <xf numFmtId="0" fontId="15" fillId="4" borderId="4" xfId="0" applyFont="1" applyFill="1" applyBorder="1" applyAlignment="1">
      <alignment horizontal="center" vertical="top" wrapText="1"/>
    </xf>
    <xf numFmtId="0" fontId="15" fillId="4" borderId="5" xfId="0" applyFont="1" applyFill="1" applyBorder="1" applyAlignment="1">
      <alignment horizontal="center" vertical="top" wrapText="1"/>
    </xf>
    <xf numFmtId="0" fontId="21" fillId="4" borderId="4" xfId="0" applyFont="1" applyFill="1" applyBorder="1" applyAlignment="1">
      <alignment horizontal="center" vertical="center" wrapText="1"/>
    </xf>
    <xf numFmtId="49" fontId="1" fillId="4" borderId="3" xfId="0" applyNumberFormat="1" applyFont="1" applyFill="1" applyBorder="1" applyAlignment="1">
      <alignment horizontal="center" vertical="center"/>
    </xf>
    <xf numFmtId="49" fontId="1" fillId="4" borderId="3" xfId="0" applyNumberFormat="1" applyFont="1" applyFill="1" applyBorder="1" applyAlignment="1">
      <alignment horizontal="center"/>
    </xf>
    <xf numFmtId="49" fontId="1" fillId="4" borderId="13" xfId="0" applyNumberFormat="1" applyFont="1" applyFill="1" applyBorder="1" applyAlignment="1">
      <alignment horizontal="center"/>
    </xf>
    <xf numFmtId="49" fontId="1" fillId="4" borderId="2" xfId="0" applyNumberFormat="1" applyFont="1" applyFill="1" applyBorder="1"/>
    <xf numFmtId="49" fontId="1" fillId="4" borderId="2" xfId="0" applyNumberFormat="1" applyFont="1" applyFill="1" applyBorder="1" applyAlignment="1">
      <alignment horizontal="center"/>
    </xf>
    <xf numFmtId="0" fontId="15" fillId="4" borderId="16" xfId="0" applyFont="1" applyFill="1" applyBorder="1" applyAlignment="1">
      <alignment horizontal="center" vertical="center" wrapText="1"/>
    </xf>
    <xf numFmtId="0" fontId="12" fillId="4" borderId="2" xfId="0" applyFont="1" applyFill="1" applyBorder="1" applyAlignment="1">
      <alignment horizontal="center" wrapText="1"/>
    </xf>
    <xf numFmtId="0" fontId="22" fillId="4" borderId="2" xfId="0" applyFont="1" applyFill="1" applyBorder="1" applyAlignment="1">
      <alignment horizontal="center" wrapText="1"/>
    </xf>
    <xf numFmtId="165" fontId="22" fillId="4" borderId="2" xfId="0" applyNumberFormat="1" applyFont="1" applyFill="1" applyBorder="1" applyAlignment="1">
      <alignment horizontal="center" wrapText="1"/>
    </xf>
    <xf numFmtId="0" fontId="47" fillId="0" borderId="0" xfId="0" applyFont="1" applyFill="1"/>
    <xf numFmtId="0" fontId="15" fillId="8" borderId="2" xfId="0" applyFont="1" applyFill="1" applyBorder="1" applyAlignment="1">
      <alignment horizontal="center"/>
    </xf>
    <xf numFmtId="0" fontId="15" fillId="8" borderId="8" xfId="0" applyFont="1" applyFill="1" applyBorder="1" applyAlignment="1">
      <alignment horizontal="center" vertical="top" wrapText="1"/>
    </xf>
    <xf numFmtId="0" fontId="15" fillId="8" borderId="6" xfId="0" applyFont="1" applyFill="1" applyBorder="1" applyAlignment="1">
      <alignment horizontal="center" vertical="top" wrapText="1"/>
    </xf>
    <xf numFmtId="0" fontId="15" fillId="8" borderId="7" xfId="0" applyFont="1" applyFill="1" applyBorder="1" applyAlignment="1">
      <alignment horizontal="center" vertical="top" wrapText="1"/>
    </xf>
    <xf numFmtId="165" fontId="15" fillId="8" borderId="2" xfId="0" applyNumberFormat="1" applyFont="1" applyFill="1" applyBorder="1" applyAlignment="1">
      <alignment horizontal="center" vertical="center" wrapText="1"/>
    </xf>
    <xf numFmtId="0" fontId="6" fillId="9" borderId="2" xfId="0" applyFont="1" applyFill="1" applyBorder="1" applyAlignment="1">
      <alignment horizontal="center"/>
    </xf>
    <xf numFmtId="4" fontId="6" fillId="0" borderId="0" xfId="0" applyNumberFormat="1" applyFont="1" applyAlignment="1">
      <alignment horizontal="center"/>
    </xf>
    <xf numFmtId="0" fontId="6" fillId="0" borderId="0" xfId="0" applyFont="1" applyAlignment="1">
      <alignment horizontal="center"/>
    </xf>
    <xf numFmtId="4" fontId="12" fillId="9" borderId="2" xfId="0" applyNumberFormat="1" applyFont="1" applyFill="1" applyBorder="1" applyAlignment="1">
      <alignment horizontal="right"/>
    </xf>
    <xf numFmtId="0" fontId="21" fillId="4" borderId="2" xfId="0" applyFont="1" applyFill="1" applyBorder="1" applyAlignment="1">
      <alignment horizontal="center"/>
    </xf>
    <xf numFmtId="0" fontId="25" fillId="4" borderId="2" xfId="0" applyFont="1" applyFill="1" applyBorder="1" applyAlignment="1">
      <alignment vertical="top" wrapText="1"/>
    </xf>
    <xf numFmtId="0" fontId="48" fillId="0" borderId="2" xfId="0" applyFont="1" applyFill="1" applyBorder="1" applyAlignment="1">
      <alignment horizontal="left" vertical="top" wrapText="1"/>
    </xf>
    <xf numFmtId="9" fontId="35" fillId="0" borderId="2" xfId="5" applyFont="1" applyBorder="1" applyAlignment="1">
      <alignment wrapText="1"/>
    </xf>
    <xf numFmtId="49" fontId="1" fillId="0" borderId="2" xfId="0" applyNumberFormat="1" applyFont="1" applyFill="1" applyBorder="1" applyAlignment="1">
      <alignment horizontal="center"/>
    </xf>
    <xf numFmtId="4" fontId="1" fillId="0" borderId="2" xfId="5" applyNumberFormat="1" applyFont="1" applyBorder="1" applyAlignment="1">
      <alignment horizontal="right" wrapText="1"/>
    </xf>
    <xf numFmtId="0" fontId="1" fillId="0" borderId="0" xfId="0" applyFont="1" applyAlignment="1">
      <alignment horizontal="center"/>
    </xf>
    <xf numFmtId="0" fontId="25" fillId="0" borderId="2" xfId="0" applyFont="1" applyFill="1" applyBorder="1" applyAlignment="1">
      <alignment vertical="top" wrapText="1"/>
    </xf>
    <xf numFmtId="0" fontId="48" fillId="0" borderId="3" xfId="0" applyFont="1" applyFill="1" applyBorder="1" applyAlignment="1">
      <alignment horizontal="left" vertical="top" wrapText="1"/>
    </xf>
    <xf numFmtId="9" fontId="1" fillId="0" borderId="2" xfId="5" applyFont="1" applyBorder="1" applyAlignment="1">
      <alignment horizontal="center" wrapText="1"/>
    </xf>
    <xf numFmtId="49" fontId="1" fillId="0" borderId="5" xfId="0" applyNumberFormat="1" applyFont="1" applyFill="1" applyBorder="1" applyAlignment="1">
      <alignment horizontal="center"/>
    </xf>
    <xf numFmtId="49" fontId="1" fillId="4" borderId="5" xfId="0" applyNumberFormat="1" applyFont="1" applyFill="1" applyBorder="1" applyAlignment="1">
      <alignment horizontal="center"/>
    </xf>
    <xf numFmtId="0" fontId="48" fillId="0" borderId="5" xfId="0" applyFont="1" applyFill="1" applyBorder="1" applyAlignment="1">
      <alignment horizontal="left" vertical="top" wrapText="1"/>
    </xf>
    <xf numFmtId="0" fontId="48" fillId="0" borderId="5" xfId="0" applyFont="1" applyFill="1" applyBorder="1" applyAlignment="1">
      <alignment vertical="top" wrapText="1"/>
    </xf>
    <xf numFmtId="0" fontId="50" fillId="0" borderId="2" xfId="0" applyFont="1" applyFill="1" applyBorder="1" applyAlignment="1">
      <alignment vertical="top" wrapText="1"/>
    </xf>
    <xf numFmtId="0" fontId="50" fillId="4" borderId="2" xfId="0" applyFont="1" applyFill="1" applyBorder="1" applyAlignment="1">
      <alignment horizontal="left" vertical="justify"/>
    </xf>
    <xf numFmtId="2" fontId="1" fillId="4" borderId="2" xfId="0" applyNumberFormat="1" applyFont="1" applyFill="1" applyBorder="1" applyAlignment="1">
      <alignment horizontal="right"/>
    </xf>
    <xf numFmtId="0" fontId="46" fillId="0" borderId="0" xfId="0" applyFont="1"/>
    <xf numFmtId="9" fontId="46" fillId="0" borderId="0" xfId="5" applyFont="1"/>
    <xf numFmtId="49" fontId="0" fillId="0" borderId="2" xfId="0" applyNumberFormat="1" applyFont="1" applyFill="1" applyBorder="1" applyAlignment="1">
      <alignment vertical="center" wrapText="1"/>
    </xf>
    <xf numFmtId="0" fontId="50" fillId="0" borderId="2" xfId="0" applyFont="1" applyFill="1" applyBorder="1" applyAlignment="1">
      <alignment horizontal="left" vertical="top" wrapText="1"/>
    </xf>
    <xf numFmtId="9" fontId="11" fillId="0" borderId="0" xfId="5" applyFont="1"/>
    <xf numFmtId="0" fontId="1" fillId="0" borderId="2" xfId="0" applyFont="1" applyBorder="1" applyAlignment="1">
      <alignment vertical="justify"/>
    </xf>
    <xf numFmtId="4" fontId="1" fillId="4" borderId="2" xfId="0" applyNumberFormat="1" applyFont="1" applyFill="1" applyBorder="1" applyAlignment="1">
      <alignment horizontal="right"/>
    </xf>
    <xf numFmtId="0" fontId="50" fillId="0" borderId="2" xfId="0" applyFont="1" applyFill="1" applyBorder="1" applyAlignment="1">
      <alignment horizontal="left" vertical="center" wrapText="1"/>
    </xf>
    <xf numFmtId="0" fontId="1" fillId="4" borderId="2" xfId="0" applyFont="1" applyFill="1" applyBorder="1" applyAlignment="1">
      <alignment horizontal="center" wrapText="1"/>
    </xf>
    <xf numFmtId="49" fontId="1" fillId="4" borderId="2" xfId="0" applyNumberFormat="1" applyFont="1" applyFill="1" applyBorder="1" applyAlignment="1">
      <alignment horizontal="center" wrapText="1"/>
    </xf>
    <xf numFmtId="0" fontId="50" fillId="4" borderId="2" xfId="0" applyFont="1" applyFill="1" applyBorder="1" applyAlignment="1">
      <alignment horizontal="left" vertical="justify" wrapText="1"/>
    </xf>
    <xf numFmtId="0" fontId="50" fillId="4" borderId="2" xfId="0" applyFont="1" applyFill="1" applyBorder="1" applyAlignment="1">
      <alignment vertical="justify"/>
    </xf>
    <xf numFmtId="0" fontId="48" fillId="0" borderId="2" xfId="0" applyFont="1" applyFill="1" applyBorder="1" applyAlignment="1">
      <alignment horizontal="left" vertical="justify" wrapText="1"/>
    </xf>
    <xf numFmtId="0" fontId="50" fillId="4" borderId="3" xfId="0" applyFont="1" applyFill="1" applyBorder="1" applyAlignment="1">
      <alignment horizontal="left" vertical="justify" wrapText="1"/>
    </xf>
    <xf numFmtId="0" fontId="50" fillId="4" borderId="5" xfId="0" applyFont="1" applyFill="1" applyBorder="1" applyAlignment="1">
      <alignment horizontal="left" vertical="justify" wrapText="1"/>
    </xf>
    <xf numFmtId="0" fontId="50" fillId="0" borderId="0" xfId="0" applyFont="1" applyAlignment="1">
      <alignment horizontal="left" vertical="top" wrapText="1" indent="2"/>
    </xf>
    <xf numFmtId="0" fontId="6" fillId="0" borderId="2" xfId="0" applyFont="1" applyBorder="1" applyAlignment="1">
      <alignment horizontal="center"/>
    </xf>
    <xf numFmtId="0" fontId="51" fillId="0" borderId="0" xfId="0" applyFont="1"/>
    <xf numFmtId="0" fontId="1" fillId="0" borderId="2" xfId="0" applyFont="1" applyBorder="1" applyAlignment="1">
      <alignment horizontal="center"/>
    </xf>
    <xf numFmtId="0" fontId="50" fillId="0" borderId="2" xfId="0" applyFont="1" applyFill="1" applyBorder="1" applyAlignment="1">
      <alignment horizontal="left" vertical="top" wrapText="1"/>
    </xf>
    <xf numFmtId="0" fontId="1" fillId="4" borderId="2" xfId="0" applyFont="1" applyFill="1" applyBorder="1" applyAlignment="1">
      <alignment horizontal="center" vertical="top" wrapText="1"/>
    </xf>
    <xf numFmtId="0" fontId="0" fillId="4" borderId="2" xfId="0" applyFont="1" applyFill="1" applyBorder="1" applyAlignment="1">
      <alignment horizontal="center"/>
    </xf>
    <xf numFmtId="0" fontId="21" fillId="9" borderId="2" xfId="4" applyFont="1" applyFill="1" applyBorder="1" applyAlignment="1">
      <alignment horizontal="center"/>
    </xf>
    <xf numFmtId="0" fontId="21" fillId="9" borderId="8"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7" xfId="0" applyFont="1" applyFill="1" applyBorder="1" applyAlignment="1">
      <alignment horizontal="center" vertical="center" wrapText="1"/>
    </xf>
    <xf numFmtId="9" fontId="15" fillId="4" borderId="2" xfId="5" applyFont="1" applyFill="1" applyBorder="1" applyAlignment="1">
      <alignment horizontal="center" wrapText="1"/>
    </xf>
    <xf numFmtId="0" fontId="49" fillId="4" borderId="2" xfId="0" applyFont="1" applyFill="1" applyBorder="1" applyAlignment="1">
      <alignment horizontal="center" vertical="justify"/>
    </xf>
    <xf numFmtId="0" fontId="49" fillId="4" borderId="2" xfId="0" applyFont="1" applyFill="1" applyBorder="1" applyAlignment="1">
      <alignment horizontal="center"/>
    </xf>
    <xf numFmtId="49" fontId="22" fillId="4" borderId="2" xfId="0" applyNumberFormat="1" applyFont="1" applyFill="1" applyBorder="1" applyAlignment="1">
      <alignment horizontal="left" vertical="justify"/>
    </xf>
    <xf numFmtId="0" fontId="39" fillId="4" borderId="2" xfId="0" applyFont="1" applyFill="1" applyBorder="1" applyAlignment="1">
      <alignment horizontal="center"/>
    </xf>
    <xf numFmtId="2" fontId="15" fillId="4" borderId="2" xfId="0" applyNumberFormat="1" applyFont="1" applyFill="1" applyBorder="1" applyAlignment="1">
      <alignment horizontal="right"/>
    </xf>
    <xf numFmtId="0" fontId="1" fillId="4" borderId="2" xfId="0" applyFont="1" applyFill="1" applyBorder="1" applyAlignment="1">
      <alignment horizontal="center"/>
    </xf>
    <xf numFmtId="0" fontId="48" fillId="4" borderId="2" xfId="0" applyFont="1" applyFill="1" applyBorder="1" applyAlignment="1">
      <alignment horizontal="left" vertical="justify"/>
    </xf>
    <xf numFmtId="0" fontId="50" fillId="4" borderId="2" xfId="0" applyFont="1" applyFill="1" applyBorder="1" applyAlignment="1">
      <alignment vertical="top" wrapText="1"/>
    </xf>
    <xf numFmtId="0" fontId="1" fillId="4" borderId="2" xfId="0" applyFont="1" applyFill="1" applyBorder="1" applyAlignment="1">
      <alignment horizontal="center" vertical="justify"/>
    </xf>
    <xf numFmtId="49" fontId="1" fillId="4" borderId="2" xfId="0" applyNumberFormat="1" applyFont="1" applyFill="1" applyBorder="1" applyAlignment="1">
      <alignment horizontal="center" vertical="justify"/>
    </xf>
    <xf numFmtId="0" fontId="48" fillId="4" borderId="2" xfId="0" applyFont="1" applyFill="1" applyBorder="1" applyAlignment="1">
      <alignment horizontal="left" vertical="justify" wrapText="1"/>
    </xf>
    <xf numFmtId="0" fontId="22" fillId="4" borderId="2" xfId="0" applyFont="1" applyFill="1" applyBorder="1" applyAlignment="1">
      <alignment horizontal="center" wrapText="1"/>
    </xf>
    <xf numFmtId="9" fontId="9" fillId="4" borderId="2" xfId="5" applyFont="1" applyFill="1" applyBorder="1" applyAlignment="1">
      <alignment horizontal="left" wrapText="1"/>
    </xf>
    <xf numFmtId="49" fontId="12" fillId="4" borderId="2" xfId="0" applyNumberFormat="1" applyFont="1" applyFill="1" applyBorder="1" applyAlignment="1">
      <alignment horizontal="left" wrapText="1"/>
    </xf>
    <xf numFmtId="4" fontId="12" fillId="4" borderId="2" xfId="0" applyNumberFormat="1" applyFont="1" applyFill="1" applyBorder="1" applyAlignment="1">
      <alignment horizontal="right" wrapText="1"/>
    </xf>
    <xf numFmtId="1" fontId="9" fillId="4" borderId="2" xfId="5" applyNumberFormat="1" applyFont="1" applyFill="1" applyBorder="1" applyAlignment="1">
      <alignment horizontal="center" wrapText="1"/>
    </xf>
    <xf numFmtId="9" fontId="9" fillId="4" borderId="2" xfId="5" applyFont="1" applyFill="1" applyBorder="1" applyAlignment="1">
      <alignment horizontal="center" wrapText="1"/>
    </xf>
    <xf numFmtId="9" fontId="12" fillId="4" borderId="2" xfId="5" applyFont="1" applyFill="1" applyBorder="1" applyAlignment="1">
      <alignment horizontal="center" wrapText="1"/>
    </xf>
    <xf numFmtId="49" fontId="12" fillId="4" borderId="2" xfId="5" applyNumberFormat="1" applyFont="1" applyFill="1" applyBorder="1" applyAlignment="1">
      <alignment horizontal="left" wrapText="1"/>
    </xf>
    <xf numFmtId="4" fontId="9" fillId="4" borderId="2" xfId="5" applyNumberFormat="1" applyFont="1" applyFill="1" applyBorder="1" applyAlignment="1">
      <alignment horizontal="right" wrapText="1"/>
    </xf>
    <xf numFmtId="0" fontId="9" fillId="4" borderId="2" xfId="0" applyFont="1" applyFill="1" applyBorder="1" applyAlignment="1">
      <alignment horizontal="center"/>
    </xf>
    <xf numFmtId="0" fontId="6" fillId="4" borderId="2" xfId="0" applyFont="1" applyFill="1" applyBorder="1" applyAlignment="1">
      <alignment horizontal="center" vertical="justify"/>
    </xf>
    <xf numFmtId="0" fontId="6" fillId="4" borderId="2" xfId="0" applyFont="1" applyFill="1" applyBorder="1" applyAlignment="1">
      <alignment horizontal="center"/>
    </xf>
    <xf numFmtId="0" fontId="12" fillId="4" borderId="2" xfId="0" applyFont="1" applyFill="1" applyBorder="1" applyAlignment="1">
      <alignment horizontal="left" vertical="justify"/>
    </xf>
    <xf numFmtId="0" fontId="9" fillId="4" borderId="2" xfId="0" applyFont="1" applyFill="1" applyBorder="1" applyAlignment="1">
      <alignment horizontal="center" vertical="justify"/>
    </xf>
    <xf numFmtId="4" fontId="12" fillId="4" borderId="2" xfId="0" applyNumberFormat="1" applyFont="1" applyFill="1" applyBorder="1" applyAlignment="1">
      <alignment horizontal="right"/>
    </xf>
    <xf numFmtId="0" fontId="6" fillId="4" borderId="0" xfId="0" applyFont="1" applyFill="1" applyAlignment="1">
      <alignment horizontal="center"/>
    </xf>
    <xf numFmtId="49" fontId="12" fillId="4" borderId="2" xfId="0" applyNumberFormat="1" applyFont="1" applyFill="1" applyBorder="1" applyAlignment="1">
      <alignment horizontal="left" vertical="justify"/>
    </xf>
    <xf numFmtId="0" fontId="22" fillId="0" borderId="4" xfId="0" applyFont="1" applyBorder="1" applyAlignment="1">
      <alignment horizontal="center" wrapText="1"/>
    </xf>
    <xf numFmtId="0" fontId="52" fillId="0" borderId="4" xfId="0" applyFont="1" applyBorder="1" applyAlignment="1"/>
    <xf numFmtId="1" fontId="21" fillId="0" borderId="23" xfId="5" applyNumberFormat="1" applyFont="1" applyFill="1" applyBorder="1" applyAlignment="1">
      <alignment horizontal="center" wrapText="1"/>
    </xf>
    <xf numFmtId="9" fontId="21" fillId="0" borderId="21" xfId="5" applyFont="1" applyFill="1" applyBorder="1" applyAlignment="1">
      <alignment horizontal="center" wrapText="1"/>
    </xf>
    <xf numFmtId="9" fontId="22" fillId="0" borderId="21" xfId="5" applyFont="1" applyFill="1" applyBorder="1" applyAlignment="1">
      <alignment horizontal="center" wrapText="1"/>
    </xf>
    <xf numFmtId="9" fontId="35" fillId="0" borderId="18" xfId="5" applyFont="1" applyFill="1" applyBorder="1" applyAlignment="1">
      <alignment horizontal="center" wrapText="1"/>
    </xf>
    <xf numFmtId="9" fontId="35" fillId="0" borderId="21" xfId="5" applyFont="1" applyFill="1" applyBorder="1" applyAlignment="1">
      <alignment horizontal="center" wrapText="1"/>
    </xf>
    <xf numFmtId="9" fontId="53" fillId="0" borderId="0" xfId="5" applyFont="1"/>
    <xf numFmtId="49" fontId="0" fillId="0" borderId="4" xfId="0" applyNumberFormat="1" applyFill="1" applyBorder="1" applyAlignment="1">
      <alignment horizontal="center" vertical="center" wrapText="1"/>
    </xf>
    <xf numFmtId="0" fontId="25" fillId="0" borderId="4" xfId="0" applyFont="1" applyFill="1" applyBorder="1" applyAlignment="1">
      <alignment horizontal="center" vertical="top" wrapText="1"/>
    </xf>
    <xf numFmtId="0" fontId="39" fillId="4" borderId="5" xfId="0" applyFont="1" applyFill="1" applyBorder="1" applyAlignment="1">
      <alignment horizontal="left" vertical="center" wrapText="1"/>
    </xf>
    <xf numFmtId="9" fontId="35" fillId="0" borderId="5" xfId="5" applyFont="1" applyBorder="1" applyAlignment="1">
      <alignment wrapText="1"/>
    </xf>
    <xf numFmtId="1" fontId="1" fillId="0" borderId="5" xfId="5" applyNumberFormat="1" applyFont="1" applyBorder="1" applyAlignment="1">
      <alignment horizontal="center" wrapText="1"/>
    </xf>
    <xf numFmtId="49" fontId="15" fillId="0" borderId="5" xfId="0" applyNumberFormat="1" applyFont="1" applyFill="1" applyBorder="1" applyAlignment="1">
      <alignment horizontal="center" vertical="center"/>
    </xf>
    <xf numFmtId="49" fontId="39" fillId="0" borderId="5" xfId="0" applyNumberFormat="1" applyFont="1" applyFill="1" applyBorder="1" applyAlignment="1">
      <alignment horizontal="center"/>
    </xf>
    <xf numFmtId="4" fontId="15" fillId="4" borderId="5" xfId="5" applyNumberFormat="1" applyFont="1" applyFill="1" applyBorder="1" applyAlignment="1">
      <alignment horizontal="center" vertical="center" wrapText="1"/>
    </xf>
    <xf numFmtId="165" fontId="15" fillId="4" borderId="5" xfId="5" applyNumberFormat="1" applyFont="1" applyFill="1" applyBorder="1" applyAlignment="1">
      <alignment horizontal="center" vertical="center" wrapText="1"/>
    </xf>
    <xf numFmtId="0" fontId="39" fillId="4" borderId="3" xfId="0" applyFont="1" applyFill="1" applyBorder="1" applyAlignment="1">
      <alignment horizontal="left" vertical="center" wrapText="1"/>
    </xf>
    <xf numFmtId="9" fontId="35" fillId="0" borderId="2" xfId="5" applyFont="1" applyBorder="1" applyAlignment="1">
      <alignment horizontal="center" wrapText="1"/>
    </xf>
    <xf numFmtId="49" fontId="39" fillId="0" borderId="2" xfId="0" applyNumberFormat="1" applyFont="1" applyFill="1" applyBorder="1" applyAlignment="1">
      <alignment horizontal="center"/>
    </xf>
    <xf numFmtId="4" fontId="15" fillId="4" borderId="2" xfId="0" applyNumberFormat="1" applyFont="1" applyFill="1" applyBorder="1" applyAlignment="1">
      <alignment horizontal="center" vertical="center"/>
    </xf>
    <xf numFmtId="0" fontId="39" fillId="0" borderId="2" xfId="0" applyFont="1" applyFill="1" applyBorder="1" applyAlignment="1">
      <alignment horizontal="left" vertical="center" wrapText="1"/>
    </xf>
    <xf numFmtId="49" fontId="15" fillId="0" borderId="2" xfId="0" applyNumberFormat="1" applyFont="1" applyFill="1" applyBorder="1" applyAlignment="1">
      <alignment horizontal="center"/>
    </xf>
    <xf numFmtId="4" fontId="39" fillId="4" borderId="2" xfId="5" applyNumberFormat="1" applyFont="1" applyFill="1" applyBorder="1" applyAlignment="1">
      <alignment horizontal="center" vertical="center" wrapText="1"/>
    </xf>
    <xf numFmtId="165" fontId="39" fillId="4" borderId="2" xfId="5" applyNumberFormat="1" applyFont="1" applyFill="1" applyBorder="1" applyAlignment="1">
      <alignment horizontal="center" vertical="center" wrapText="1"/>
    </xf>
    <xf numFmtId="0" fontId="39" fillId="4" borderId="16" xfId="0" applyFont="1" applyFill="1" applyBorder="1" applyAlignment="1">
      <alignment horizontal="left" vertical="center" wrapText="1"/>
    </xf>
    <xf numFmtId="0" fontId="0" fillId="4" borderId="5" xfId="0" applyFont="1" applyFill="1" applyBorder="1" applyAlignment="1">
      <alignment horizontal="center" wrapText="1"/>
    </xf>
    <xf numFmtId="0" fontId="1" fillId="4" borderId="5" xfId="0" applyFont="1" applyFill="1" applyBorder="1" applyAlignment="1">
      <alignment horizontal="center" wrapText="1"/>
    </xf>
    <xf numFmtId="49" fontId="1" fillId="4" borderId="5" xfId="0" applyNumberFormat="1" applyFont="1" applyFill="1" applyBorder="1" applyAlignment="1">
      <alignment horizontal="center" wrapText="1"/>
    </xf>
    <xf numFmtId="49" fontId="55" fillId="0" borderId="5" xfId="0" applyNumberFormat="1" applyFont="1" applyFill="1" applyBorder="1" applyAlignment="1">
      <alignment horizontal="center"/>
    </xf>
    <xf numFmtId="49" fontId="39" fillId="4" borderId="2" xfId="0" applyNumberFormat="1" applyFont="1" applyFill="1" applyBorder="1" applyAlignment="1">
      <alignment horizontal="center"/>
    </xf>
    <xf numFmtId="0" fontId="15" fillId="4" borderId="2" xfId="0" applyFont="1" applyFill="1" applyBorder="1" applyAlignment="1">
      <alignment horizontal="left" vertical="center" wrapText="1"/>
    </xf>
    <xf numFmtId="49" fontId="55" fillId="4" borderId="5" xfId="0" applyNumberFormat="1" applyFont="1" applyFill="1" applyBorder="1" applyAlignment="1">
      <alignment horizontal="center"/>
    </xf>
    <xf numFmtId="4" fontId="39" fillId="4" borderId="2" xfId="0" applyNumberFormat="1" applyFont="1" applyFill="1" applyBorder="1" applyAlignment="1">
      <alignment horizontal="center" vertical="center"/>
    </xf>
    <xf numFmtId="0" fontId="39" fillId="0" borderId="2" xfId="0" applyFont="1" applyBorder="1" applyAlignment="1">
      <alignment horizontal="left" vertical="justify"/>
    </xf>
    <xf numFmtId="0" fontId="0" fillId="4" borderId="2" xfId="0" applyFont="1" applyFill="1" applyBorder="1" applyAlignment="1">
      <alignment wrapText="1"/>
    </xf>
    <xf numFmtId="0" fontId="1" fillId="4" borderId="2" xfId="0" applyFont="1" applyFill="1" applyBorder="1" applyAlignment="1">
      <alignment vertical="center" wrapText="1"/>
    </xf>
    <xf numFmtId="49" fontId="1" fillId="4" borderId="2" xfId="0" applyNumberFormat="1" applyFont="1" applyFill="1" applyBorder="1" applyAlignment="1">
      <alignment vertical="center" wrapText="1"/>
    </xf>
    <xf numFmtId="49" fontId="15" fillId="0" borderId="0" xfId="0" applyNumberFormat="1" applyFont="1" applyFill="1" applyAlignment="1">
      <alignment horizontal="center"/>
    </xf>
    <xf numFmtId="0" fontId="39" fillId="4" borderId="3" xfId="0" applyFont="1" applyFill="1" applyBorder="1" applyAlignment="1">
      <alignment horizontal="center" vertical="center" wrapText="1"/>
    </xf>
    <xf numFmtId="0" fontId="0" fillId="4" borderId="3" xfId="0" applyFont="1" applyFill="1" applyBorder="1" applyAlignment="1">
      <alignment horizontal="center" wrapText="1"/>
    </xf>
    <xf numFmtId="0" fontId="1" fillId="4" borderId="3" xfId="0"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0" fontId="55" fillId="4" borderId="3" xfId="0" applyFont="1" applyFill="1" applyBorder="1" applyAlignment="1">
      <alignment horizontal="center" vertical="center"/>
    </xf>
    <xf numFmtId="0" fontId="39" fillId="4" borderId="5" xfId="0" applyFont="1" applyFill="1" applyBorder="1" applyAlignment="1">
      <alignment horizontal="center" vertical="center" wrapText="1"/>
    </xf>
    <xf numFmtId="0" fontId="0" fillId="4" borderId="5" xfId="0" applyFont="1" applyFill="1" applyBorder="1" applyAlignment="1">
      <alignment horizontal="center" wrapText="1"/>
    </xf>
    <xf numFmtId="0" fontId="1" fillId="4" borderId="5" xfId="0" applyFont="1" applyFill="1" applyBorder="1" applyAlignment="1">
      <alignment horizontal="center" vertical="center" wrapText="1"/>
    </xf>
    <xf numFmtId="49" fontId="1" fillId="4" borderId="5" xfId="0" applyNumberFormat="1" applyFont="1" applyFill="1" applyBorder="1" applyAlignment="1">
      <alignment horizontal="center" vertical="center" wrapText="1"/>
    </xf>
    <xf numFmtId="0" fontId="55" fillId="4" borderId="5" xfId="0" applyFont="1" applyFill="1" applyBorder="1" applyAlignment="1">
      <alignment horizontal="center" vertical="center"/>
    </xf>
    <xf numFmtId="0" fontId="39" fillId="4" borderId="7" xfId="0" applyFont="1" applyFill="1" applyBorder="1" applyAlignment="1">
      <alignment horizontal="left" vertical="center" wrapText="1"/>
    </xf>
    <xf numFmtId="0" fontId="55" fillId="4" borderId="2" xfId="0" applyFont="1" applyFill="1" applyBorder="1" applyAlignment="1">
      <alignment horizontal="center"/>
    </xf>
    <xf numFmtId="0" fontId="3" fillId="0" borderId="0" xfId="0" applyNumberFormat="1" applyFont="1"/>
    <xf numFmtId="0" fontId="1" fillId="4" borderId="5" xfId="0" applyFont="1" applyFill="1" applyBorder="1" applyAlignment="1">
      <alignment horizontal="center" vertical="top" wrapText="1"/>
    </xf>
    <xf numFmtId="49" fontId="56" fillId="4" borderId="2" xfId="0" applyNumberFormat="1" applyFont="1" applyFill="1" applyBorder="1" applyAlignment="1">
      <alignment vertical="center" wrapText="1"/>
    </xf>
    <xf numFmtId="49" fontId="15" fillId="4" borderId="2" xfId="0" applyNumberFormat="1" applyFont="1" applyFill="1" applyBorder="1" applyAlignment="1">
      <alignment horizontal="center"/>
    </xf>
    <xf numFmtId="0" fontId="39" fillId="4" borderId="4" xfId="0" applyFont="1" applyFill="1" applyBorder="1" applyAlignment="1">
      <alignment horizontal="center" vertical="center" wrapText="1"/>
    </xf>
    <xf numFmtId="0" fontId="39" fillId="4" borderId="3" xfId="0" applyFont="1" applyFill="1" applyBorder="1" applyAlignment="1">
      <alignment horizontal="center" wrapText="1"/>
    </xf>
    <xf numFmtId="0" fontId="1" fillId="4" borderId="3" xfId="0" applyFont="1" applyFill="1" applyBorder="1" applyAlignment="1">
      <alignment horizontal="center" vertical="top" wrapText="1"/>
    </xf>
    <xf numFmtId="165" fontId="3" fillId="0" borderId="0" xfId="0" applyNumberFormat="1" applyFont="1"/>
    <xf numFmtId="0" fontId="39" fillId="4" borderId="5" xfId="0" applyFont="1" applyFill="1" applyBorder="1" applyAlignment="1">
      <alignment horizontal="center" wrapText="1"/>
    </xf>
    <xf numFmtId="0" fontId="1" fillId="4" borderId="5" xfId="0" applyFont="1" applyFill="1" applyBorder="1" applyAlignment="1">
      <alignment horizontal="center" vertical="top" wrapText="1"/>
    </xf>
    <xf numFmtId="49" fontId="0" fillId="0" borderId="5" xfId="0" applyNumberFormat="1" applyFill="1" applyBorder="1" applyAlignment="1">
      <alignment horizontal="center" vertical="center" wrapText="1"/>
    </xf>
    <xf numFmtId="0" fontId="25" fillId="0" borderId="5" xfId="0" applyFont="1" applyFill="1" applyBorder="1" applyAlignment="1">
      <alignment horizontal="center" vertical="top" wrapText="1"/>
    </xf>
    <xf numFmtId="49" fontId="56" fillId="0" borderId="5" xfId="0" applyNumberFormat="1" applyFont="1" applyFill="1" applyBorder="1" applyAlignment="1">
      <alignment horizontal="left" vertical="center" wrapText="1"/>
    </xf>
    <xf numFmtId="49" fontId="56" fillId="0" borderId="5" xfId="0" applyNumberFormat="1" applyFont="1" applyBorder="1"/>
    <xf numFmtId="49" fontId="0" fillId="0" borderId="4" xfId="0" applyNumberFormat="1" applyFill="1" applyBorder="1" applyAlignment="1">
      <alignment horizontal="center" vertical="center" wrapText="1"/>
    </xf>
    <xf numFmtId="0" fontId="25" fillId="0" borderId="4" xfId="0" applyFont="1" applyFill="1" applyBorder="1" applyAlignment="1">
      <alignment horizontal="center" vertical="top" wrapText="1"/>
    </xf>
    <xf numFmtId="49" fontId="56" fillId="0" borderId="4" xfId="0" applyNumberFormat="1" applyFont="1" applyFill="1" applyBorder="1" applyAlignment="1">
      <alignment horizontal="left" vertical="center" wrapText="1"/>
    </xf>
    <xf numFmtId="49" fontId="56" fillId="0" borderId="2" xfId="0" applyNumberFormat="1" applyFont="1" applyBorder="1"/>
    <xf numFmtId="49" fontId="55" fillId="4" borderId="3" xfId="0" applyNumberFormat="1" applyFont="1" applyFill="1" applyBorder="1" applyAlignment="1">
      <alignment horizontal="center" vertical="center"/>
    </xf>
    <xf numFmtId="4" fontId="15" fillId="4" borderId="3" xfId="0" applyNumberFormat="1" applyFont="1" applyFill="1" applyBorder="1" applyAlignment="1">
      <alignment horizontal="center" vertical="center"/>
    </xf>
    <xf numFmtId="165" fontId="15" fillId="4" borderId="3" xfId="0" applyNumberFormat="1" applyFont="1" applyFill="1" applyBorder="1" applyAlignment="1">
      <alignment horizontal="center" vertical="center"/>
    </xf>
    <xf numFmtId="4" fontId="39" fillId="4" borderId="3" xfId="0" applyNumberFormat="1" applyFont="1" applyFill="1" applyBorder="1" applyAlignment="1">
      <alignment horizontal="center" vertical="center"/>
    </xf>
    <xf numFmtId="49" fontId="56" fillId="0" borderId="3" xfId="0" applyNumberFormat="1" applyFont="1" applyFill="1" applyBorder="1" applyAlignment="1">
      <alignment horizontal="left" vertical="center" wrapText="1"/>
    </xf>
    <xf numFmtId="49" fontId="56" fillId="0" borderId="4" xfId="0" applyNumberFormat="1" applyFont="1" applyBorder="1"/>
    <xf numFmtId="49" fontId="1" fillId="0" borderId="4" xfId="0" applyNumberFormat="1" applyFont="1" applyFill="1" applyBorder="1" applyAlignment="1">
      <alignment horizontal="center"/>
    </xf>
    <xf numFmtId="49" fontId="55" fillId="4" borderId="24" xfId="0" applyNumberFormat="1" applyFont="1" applyFill="1" applyBorder="1" applyAlignment="1">
      <alignment horizontal="center" vertical="center"/>
    </xf>
    <xf numFmtId="49" fontId="39" fillId="0" borderId="4" xfId="0" applyNumberFormat="1" applyFont="1" applyFill="1" applyBorder="1" applyAlignment="1">
      <alignment horizontal="center"/>
    </xf>
    <xf numFmtId="4" fontId="15" fillId="4" borderId="4" xfId="0" applyNumberFormat="1" applyFont="1" applyFill="1" applyBorder="1" applyAlignment="1">
      <alignment horizontal="center" vertical="center"/>
    </xf>
    <xf numFmtId="4" fontId="15" fillId="4" borderId="21" xfId="5" applyNumberFormat="1" applyFont="1" applyFill="1" applyBorder="1" applyAlignment="1">
      <alignment horizontal="center" vertical="center" wrapText="1"/>
    </xf>
    <xf numFmtId="4" fontId="61" fillId="0" borderId="0" xfId="0" applyNumberFormat="1" applyFont="1"/>
    <xf numFmtId="0" fontId="61" fillId="0" borderId="0" xfId="0" applyFont="1"/>
    <xf numFmtId="49" fontId="0" fillId="4" borderId="5" xfId="0" applyNumberFormat="1" applyFill="1" applyBorder="1" applyAlignment="1">
      <alignment vertical="center" wrapText="1"/>
    </xf>
    <xf numFmtId="0" fontId="15" fillId="4" borderId="4" xfId="0" applyFont="1" applyFill="1" applyBorder="1" applyAlignment="1">
      <alignment horizontal="center" vertical="top" wrapText="1"/>
    </xf>
    <xf numFmtId="0" fontId="39" fillId="4" borderId="25" xfId="0" applyFont="1" applyFill="1" applyBorder="1" applyAlignment="1">
      <alignment vertical="center" wrapText="1"/>
    </xf>
    <xf numFmtId="9" fontId="35" fillId="4" borderId="11" xfId="5" applyFont="1" applyFill="1" applyBorder="1" applyAlignment="1">
      <alignment wrapText="1"/>
    </xf>
    <xf numFmtId="9" fontId="35" fillId="4" borderId="4" xfId="5" applyFont="1" applyFill="1" applyBorder="1" applyAlignment="1">
      <alignment wrapText="1"/>
    </xf>
    <xf numFmtId="0" fontId="1" fillId="4" borderId="25" xfId="0" applyFont="1" applyFill="1" applyBorder="1" applyAlignment="1">
      <alignment horizontal="center" wrapText="1"/>
    </xf>
    <xf numFmtId="49" fontId="1" fillId="4" borderId="25" xfId="0" applyNumberFormat="1" applyFont="1" applyFill="1" applyBorder="1" applyAlignment="1">
      <alignment horizontal="center"/>
    </xf>
    <xf numFmtId="49" fontId="55" fillId="4" borderId="25" xfId="0" applyNumberFormat="1" applyFont="1" applyFill="1" applyBorder="1" applyAlignment="1">
      <alignment horizontal="center"/>
    </xf>
    <xf numFmtId="49" fontId="39" fillId="4" borderId="5" xfId="0" applyNumberFormat="1" applyFont="1" applyFill="1" applyBorder="1" applyAlignment="1">
      <alignment horizontal="center"/>
    </xf>
    <xf numFmtId="0" fontId="3" fillId="4" borderId="0" xfId="0" applyFont="1" applyFill="1"/>
    <xf numFmtId="49" fontId="0" fillId="0" borderId="3" xfId="0" applyNumberFormat="1" applyFill="1" applyBorder="1" applyAlignment="1">
      <alignment horizontal="center" vertical="center" wrapText="1"/>
    </xf>
    <xf numFmtId="0" fontId="25" fillId="0" borderId="3" xfId="0" applyFont="1" applyFill="1" applyBorder="1" applyAlignment="1">
      <alignment horizontal="center" vertical="top" wrapText="1"/>
    </xf>
    <xf numFmtId="0" fontId="39" fillId="4" borderId="4" xfId="0" applyFont="1" applyFill="1" applyBorder="1" applyAlignment="1">
      <alignment vertical="center" wrapText="1"/>
    </xf>
    <xf numFmtId="0" fontId="1" fillId="4" borderId="4" xfId="0" applyFont="1" applyFill="1" applyBorder="1" applyAlignment="1">
      <alignment horizontal="center" wrapText="1"/>
    </xf>
    <xf numFmtId="49" fontId="1" fillId="4" borderId="4" xfId="0" applyNumberFormat="1" applyFont="1" applyFill="1" applyBorder="1" applyAlignment="1">
      <alignment horizontal="center"/>
    </xf>
    <xf numFmtId="49" fontId="55" fillId="4" borderId="4" xfId="0" applyNumberFormat="1" applyFont="1" applyFill="1" applyBorder="1" applyAlignment="1">
      <alignment horizontal="center"/>
    </xf>
    <xf numFmtId="9" fontId="35" fillId="4" borderId="12" xfId="5" applyFont="1" applyFill="1" applyBorder="1" applyAlignment="1">
      <alignment wrapText="1"/>
    </xf>
    <xf numFmtId="9" fontId="35" fillId="4" borderId="5" xfId="5" applyFont="1" applyFill="1" applyBorder="1" applyAlignment="1">
      <alignment wrapText="1"/>
    </xf>
    <xf numFmtId="0" fontId="1" fillId="4" borderId="5" xfId="0" applyFont="1" applyFill="1" applyBorder="1" applyAlignment="1">
      <alignment horizontal="center" wrapText="1"/>
    </xf>
    <xf numFmtId="49" fontId="1" fillId="4" borderId="5" xfId="0" applyNumberFormat="1" applyFont="1" applyFill="1" applyBorder="1" applyAlignment="1">
      <alignment horizontal="center"/>
    </xf>
    <xf numFmtId="49" fontId="55" fillId="4" borderId="5" xfId="0" applyNumberFormat="1" applyFont="1" applyFill="1" applyBorder="1" applyAlignment="1">
      <alignment horizontal="center"/>
    </xf>
    <xf numFmtId="0" fontId="1" fillId="4" borderId="3" xfId="0" applyFont="1" applyFill="1" applyBorder="1" applyAlignment="1">
      <alignment horizontal="center" wrapText="1"/>
    </xf>
    <xf numFmtId="49" fontId="1" fillId="4" borderId="3" xfId="0" applyNumberFormat="1" applyFont="1" applyFill="1" applyBorder="1" applyAlignment="1">
      <alignment horizontal="center" wrapText="1"/>
    </xf>
    <xf numFmtId="0" fontId="55" fillId="4" borderId="3" xfId="0" applyFont="1" applyFill="1" applyBorder="1" applyAlignment="1">
      <alignment horizontal="center"/>
    </xf>
    <xf numFmtId="49" fontId="1" fillId="4" borderId="4" xfId="0" applyNumberFormat="1" applyFont="1" applyFill="1" applyBorder="1" applyAlignment="1">
      <alignment horizontal="center" wrapText="1"/>
    </xf>
    <xf numFmtId="0" fontId="55" fillId="4" borderId="4" xfId="0" applyFont="1" applyFill="1" applyBorder="1" applyAlignment="1">
      <alignment horizontal="center"/>
    </xf>
    <xf numFmtId="9" fontId="35" fillId="4" borderId="2" xfId="5" applyFont="1" applyFill="1" applyBorder="1" applyAlignment="1">
      <alignment wrapText="1"/>
    </xf>
    <xf numFmtId="49" fontId="1" fillId="4" borderId="5" xfId="0" applyNumberFormat="1" applyFont="1" applyFill="1" applyBorder="1" applyAlignment="1">
      <alignment horizontal="center" wrapText="1"/>
    </xf>
    <xf numFmtId="0" fontId="55" fillId="4" borderId="5" xfId="0" applyFont="1" applyFill="1" applyBorder="1" applyAlignment="1">
      <alignment horizontal="center"/>
    </xf>
    <xf numFmtId="0" fontId="1" fillId="4" borderId="4" xfId="0" applyFont="1" applyFill="1" applyBorder="1" applyAlignment="1">
      <alignment vertical="top" wrapText="1"/>
    </xf>
    <xf numFmtId="0" fontId="1" fillId="4" borderId="4" xfId="0" applyFont="1" applyFill="1" applyBorder="1" applyAlignment="1">
      <alignment horizontal="center" wrapText="1"/>
    </xf>
    <xf numFmtId="49" fontId="1" fillId="4" borderId="4" xfId="0" applyNumberFormat="1" applyFont="1" applyFill="1" applyBorder="1" applyAlignment="1">
      <alignment horizontal="center" wrapText="1"/>
    </xf>
    <xf numFmtId="4" fontId="39" fillId="4" borderId="5" xfId="0" applyNumberFormat="1" applyFont="1" applyFill="1" applyBorder="1" applyAlignment="1">
      <alignment horizontal="center" vertical="center"/>
    </xf>
    <xf numFmtId="165" fontId="39" fillId="4" borderId="5" xfId="0" applyNumberFormat="1" applyFont="1" applyFill="1" applyBorder="1" applyAlignment="1">
      <alignment horizontal="center" vertical="center"/>
    </xf>
    <xf numFmtId="49" fontId="39" fillId="4" borderId="3" xfId="0" applyNumberFormat="1" applyFont="1" applyFill="1" applyBorder="1" applyAlignment="1">
      <alignment horizontal="center"/>
    </xf>
    <xf numFmtId="165" fontId="39" fillId="4" borderId="3" xfId="0" applyNumberFormat="1" applyFont="1" applyFill="1" applyBorder="1" applyAlignment="1">
      <alignment horizontal="center" vertical="center"/>
    </xf>
    <xf numFmtId="0" fontId="1" fillId="4" borderId="3" xfId="0" applyFont="1" applyFill="1" applyBorder="1" applyAlignment="1">
      <alignment vertical="top" wrapText="1"/>
    </xf>
    <xf numFmtId="0" fontId="1" fillId="4" borderId="4" xfId="0"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0" fontId="55" fillId="4" borderId="4" xfId="0" applyFont="1" applyFill="1" applyBorder="1" applyAlignment="1">
      <alignment horizontal="center" vertical="center"/>
    </xf>
    <xf numFmtId="0" fontId="1" fillId="4" borderId="5" xfId="0" applyFont="1" applyFill="1" applyBorder="1" applyAlignment="1">
      <alignment vertical="top" wrapText="1"/>
    </xf>
    <xf numFmtId="4" fontId="15" fillId="4" borderId="5" xfId="0" applyNumberFormat="1" applyFont="1" applyFill="1" applyBorder="1" applyAlignment="1">
      <alignment horizontal="center" vertical="center"/>
    </xf>
    <xf numFmtId="165" fontId="15" fillId="4" borderId="5" xfId="0" applyNumberFormat="1" applyFont="1" applyFill="1" applyBorder="1" applyAlignment="1">
      <alignment horizontal="center" vertical="center"/>
    </xf>
    <xf numFmtId="4" fontId="3" fillId="4" borderId="0" xfId="0" applyNumberFormat="1" applyFont="1" applyFill="1"/>
    <xf numFmtId="0" fontId="39" fillId="4" borderId="5" xfId="0" applyFont="1" applyFill="1" applyBorder="1" applyAlignment="1">
      <alignment vertical="center" wrapText="1"/>
    </xf>
    <xf numFmtId="0" fontId="39" fillId="4" borderId="3" xfId="0" applyFont="1" applyFill="1" applyBorder="1" applyAlignment="1">
      <alignment horizontal="left" vertical="center" wrapText="1"/>
    </xf>
    <xf numFmtId="2" fontId="15" fillId="4" borderId="5" xfId="0" applyNumberFormat="1" applyFont="1" applyFill="1" applyBorder="1" applyAlignment="1">
      <alignment horizontal="center"/>
    </xf>
    <xf numFmtId="0" fontId="39" fillId="4" borderId="4" xfId="0" applyFont="1" applyFill="1" applyBorder="1" applyAlignment="1">
      <alignment horizontal="left" vertical="center" wrapText="1"/>
    </xf>
    <xf numFmtId="0" fontId="1" fillId="4" borderId="4" xfId="0" applyFont="1" applyFill="1" applyBorder="1" applyAlignment="1">
      <alignment horizontal="center" vertical="top" wrapText="1"/>
    </xf>
    <xf numFmtId="49" fontId="55" fillId="4" borderId="4" xfId="0" applyNumberFormat="1" applyFont="1" applyFill="1" applyBorder="1" applyAlignment="1">
      <alignment horizontal="center" vertical="center"/>
    </xf>
    <xf numFmtId="0" fontId="39" fillId="4" borderId="5" xfId="0" applyFont="1" applyFill="1" applyBorder="1" applyAlignment="1">
      <alignment horizontal="left" vertical="center" wrapText="1"/>
    </xf>
    <xf numFmtId="49" fontId="55" fillId="4" borderId="5" xfId="0" applyNumberFormat="1" applyFont="1" applyFill="1" applyBorder="1" applyAlignment="1">
      <alignment horizontal="center" vertical="center"/>
    </xf>
    <xf numFmtId="165" fontId="15" fillId="10" borderId="21" xfId="0" applyNumberFormat="1" applyFont="1" applyFill="1" applyBorder="1" applyAlignment="1">
      <alignment horizontal="right" vertical="top" wrapText="1"/>
    </xf>
    <xf numFmtId="165" fontId="15" fillId="10" borderId="22" xfId="0" applyNumberFormat="1" applyFont="1" applyFill="1" applyBorder="1" applyAlignment="1">
      <alignment horizontal="right" vertical="top" wrapText="1"/>
    </xf>
    <xf numFmtId="165" fontId="15" fillId="4" borderId="21" xfId="5" applyNumberFormat="1" applyFont="1" applyFill="1" applyBorder="1" applyAlignment="1">
      <alignment horizontal="right" wrapText="1"/>
    </xf>
    <xf numFmtId="165" fontId="15" fillId="0" borderId="21" xfId="5" applyNumberFormat="1" applyFont="1" applyFill="1" applyBorder="1" applyAlignment="1">
      <alignment horizontal="right" wrapText="1"/>
    </xf>
    <xf numFmtId="165" fontId="15" fillId="0" borderId="22" xfId="5" applyNumberFormat="1" applyFont="1" applyFill="1" applyBorder="1" applyAlignment="1">
      <alignment horizontal="right" wrapText="1"/>
    </xf>
    <xf numFmtId="0" fontId="39" fillId="4" borderId="24" xfId="0" applyFont="1" applyFill="1" applyBorder="1" applyAlignment="1">
      <alignment horizontal="center" vertical="center" wrapText="1"/>
    </xf>
    <xf numFmtId="49" fontId="57" fillId="4" borderId="17" xfId="0" applyNumberFormat="1" applyFont="1" applyFill="1" applyBorder="1" applyAlignment="1">
      <alignment vertical="center" wrapText="1"/>
    </xf>
    <xf numFmtId="0" fontId="58" fillId="4" borderId="18" xfId="0" applyFont="1" applyFill="1" applyBorder="1" applyAlignment="1">
      <alignment horizontal="center" vertical="top" wrapText="1"/>
    </xf>
    <xf numFmtId="0" fontId="39" fillId="4" borderId="17" xfId="0" applyFont="1" applyFill="1" applyBorder="1" applyAlignment="1">
      <alignment vertical="top" wrapText="1"/>
    </xf>
    <xf numFmtId="9" fontId="59" fillId="4" borderId="18" xfId="5" applyFont="1" applyFill="1" applyBorder="1" applyAlignment="1">
      <alignment wrapText="1"/>
    </xf>
    <xf numFmtId="9" fontId="59" fillId="4" borderId="21" xfId="5" applyFont="1" applyFill="1" applyBorder="1" applyAlignment="1">
      <alignment wrapText="1"/>
    </xf>
    <xf numFmtId="49" fontId="60" fillId="4" borderId="21" xfId="0" applyNumberFormat="1" applyFont="1" applyFill="1" applyBorder="1" applyAlignment="1">
      <alignment horizontal="center"/>
    </xf>
    <xf numFmtId="49" fontId="39" fillId="4" borderId="21" xfId="0" applyNumberFormat="1" applyFont="1" applyFill="1" applyBorder="1" applyAlignment="1">
      <alignment horizontal="center"/>
    </xf>
    <xf numFmtId="0" fontId="15" fillId="10" borderId="17" xfId="0" applyFont="1" applyFill="1" applyBorder="1" applyAlignment="1">
      <alignment horizontal="center"/>
    </xf>
    <xf numFmtId="0" fontId="21" fillId="10" borderId="18" xfId="0" applyFont="1" applyFill="1" applyBorder="1" applyAlignment="1">
      <alignment horizontal="center" vertical="top" wrapText="1"/>
    </xf>
    <xf numFmtId="0" fontId="21" fillId="10" borderId="19" xfId="0" applyFont="1" applyFill="1" applyBorder="1" applyAlignment="1">
      <alignment horizontal="center" vertical="top" wrapText="1"/>
    </xf>
    <xf numFmtId="0" fontId="21" fillId="10" borderId="20" xfId="0" applyFont="1" applyFill="1" applyBorder="1" applyAlignment="1">
      <alignment horizontal="center" vertical="top" wrapText="1"/>
    </xf>
    <xf numFmtId="0" fontId="38" fillId="0" borderId="3" xfId="0" applyFont="1" applyBorder="1" applyAlignment="1">
      <alignment horizontal="center" vertical="top" wrapText="1"/>
    </xf>
    <xf numFmtId="0" fontId="38" fillId="0" borderId="2" xfId="0" applyFont="1" applyBorder="1" applyAlignment="1">
      <alignment horizontal="left" vertical="top" wrapText="1"/>
    </xf>
    <xf numFmtId="0" fontId="38" fillId="0" borderId="2" xfId="0" applyFont="1" applyFill="1" applyBorder="1" applyAlignment="1">
      <alignment horizontal="center" vertical="top" wrapText="1"/>
    </xf>
    <xf numFmtId="49" fontId="38" fillId="0" borderId="2" xfId="0" applyNumberFormat="1" applyFont="1" applyBorder="1" applyAlignment="1">
      <alignment vertical="top" wrapText="1"/>
    </xf>
    <xf numFmtId="49" fontId="44" fillId="0" borderId="2" xfId="0" applyNumberFormat="1" applyFont="1" applyFill="1" applyBorder="1"/>
    <xf numFmtId="166" fontId="62" fillId="0" borderId="2" xfId="0" applyNumberFormat="1" applyFont="1" applyFill="1" applyBorder="1" applyAlignment="1">
      <alignment horizontal="right"/>
    </xf>
    <xf numFmtId="166" fontId="44" fillId="0" borderId="2" xfId="0" applyNumberFormat="1" applyFont="1" applyFill="1" applyBorder="1" applyAlignment="1">
      <alignment horizontal="right"/>
    </xf>
    <xf numFmtId="0" fontId="38" fillId="0" borderId="4" xfId="0" applyFont="1" applyBorder="1" applyAlignment="1">
      <alignment horizontal="center" vertical="top" wrapText="1"/>
    </xf>
    <xf numFmtId="49" fontId="38" fillId="0" borderId="3" xfId="0" applyNumberFormat="1" applyFont="1" applyFill="1" applyBorder="1" applyAlignment="1">
      <alignment horizontal="left" vertical="top" wrapText="1"/>
    </xf>
    <xf numFmtId="0" fontId="38" fillId="0" borderId="2" xfId="0" applyNumberFormat="1" applyFont="1" applyBorder="1" applyAlignment="1">
      <alignment vertical="top" wrapText="1"/>
    </xf>
    <xf numFmtId="49" fontId="38" fillId="0" borderId="2" xfId="0" applyNumberFormat="1" applyFont="1" applyBorder="1" applyAlignment="1">
      <alignment horizontal="left" vertical="top" wrapText="1"/>
    </xf>
    <xf numFmtId="49" fontId="44" fillId="0" borderId="2" xfId="0" applyNumberFormat="1" applyFont="1" applyFill="1" applyBorder="1" applyAlignment="1">
      <alignment horizontal="center" vertical="top" wrapText="1"/>
    </xf>
    <xf numFmtId="166" fontId="62" fillId="0" borderId="2" xfId="0" applyNumberFormat="1" applyFont="1" applyFill="1" applyBorder="1" applyAlignment="1">
      <alignment vertical="top" wrapText="1"/>
    </xf>
    <xf numFmtId="166" fontId="44" fillId="0" borderId="2" xfId="0" applyNumberFormat="1" applyFont="1" applyFill="1" applyBorder="1" applyAlignment="1">
      <alignment vertical="top" wrapText="1"/>
    </xf>
    <xf numFmtId="0" fontId="38" fillId="0" borderId="2" xfId="0" applyFont="1" applyFill="1" applyBorder="1" applyAlignment="1">
      <alignment horizontal="left" vertical="top" wrapText="1"/>
    </xf>
    <xf numFmtId="49" fontId="38" fillId="0" borderId="2" xfId="0" applyNumberFormat="1" applyFont="1" applyFill="1" applyBorder="1" applyAlignment="1">
      <alignment vertical="top" wrapText="1"/>
    </xf>
    <xf numFmtId="49" fontId="38" fillId="0" borderId="2" xfId="0" applyNumberFormat="1" applyFont="1" applyFill="1" applyBorder="1" applyAlignment="1">
      <alignment horizontal="left" vertical="top" wrapText="1"/>
    </xf>
    <xf numFmtId="49" fontId="43" fillId="0" borderId="2" xfId="0" applyNumberFormat="1" applyFont="1" applyFill="1" applyBorder="1" applyAlignment="1">
      <alignment vertical="top"/>
    </xf>
    <xf numFmtId="166" fontId="63" fillId="0" borderId="2" xfId="0" applyNumberFormat="1" applyFont="1" applyFill="1" applyBorder="1" applyAlignment="1">
      <alignment vertical="top" wrapText="1"/>
    </xf>
    <xf numFmtId="166" fontId="43" fillId="0" borderId="2" xfId="0" applyNumberFormat="1" applyFont="1" applyFill="1" applyBorder="1" applyAlignment="1">
      <alignment vertical="top" wrapText="1"/>
    </xf>
    <xf numFmtId="167" fontId="38" fillId="0" borderId="2" xfId="0" applyNumberFormat="1" applyFont="1" applyFill="1" applyBorder="1" applyAlignment="1">
      <alignment vertical="top" wrapText="1"/>
    </xf>
    <xf numFmtId="49" fontId="38" fillId="0" borderId="2" xfId="0" applyNumberFormat="1" applyFont="1" applyFill="1" applyBorder="1" applyAlignment="1">
      <alignment vertical="top"/>
    </xf>
    <xf numFmtId="0" fontId="38" fillId="0" borderId="3" xfId="0" applyFont="1" applyFill="1" applyBorder="1" applyAlignment="1">
      <alignment vertical="top" wrapText="1"/>
    </xf>
    <xf numFmtId="166" fontId="64" fillId="0" borderId="2" xfId="0" applyNumberFormat="1" applyFont="1" applyFill="1" applyBorder="1" applyAlignment="1">
      <alignment vertical="top" wrapText="1"/>
    </xf>
    <xf numFmtId="0" fontId="38" fillId="0" borderId="4" xfId="0" applyFont="1" applyFill="1" applyBorder="1" applyAlignment="1">
      <alignment vertical="top" wrapText="1"/>
    </xf>
    <xf numFmtId="166" fontId="65" fillId="0" borderId="2" xfId="0" applyNumberFormat="1" applyFont="1" applyFill="1" applyBorder="1" applyAlignment="1">
      <alignment vertical="top" wrapText="1"/>
    </xf>
    <xf numFmtId="166" fontId="38" fillId="0" borderId="2" xfId="0" applyNumberFormat="1" applyFont="1" applyFill="1" applyBorder="1" applyAlignment="1">
      <alignment vertical="top" wrapText="1"/>
    </xf>
    <xf numFmtId="49" fontId="38" fillId="0" borderId="2" xfId="0" applyNumberFormat="1" applyFont="1" applyFill="1" applyBorder="1" applyAlignment="1">
      <alignment vertical="justify"/>
    </xf>
    <xf numFmtId="49" fontId="38" fillId="0" borderId="2" xfId="0" applyNumberFormat="1" applyFont="1" applyFill="1" applyBorder="1" applyAlignment="1">
      <alignment horizontal="left" vertical="center" wrapText="1"/>
    </xf>
    <xf numFmtId="0" fontId="38" fillId="0" borderId="5" xfId="0" applyFont="1" applyFill="1" applyBorder="1" applyAlignment="1">
      <alignment vertical="top" wrapText="1"/>
    </xf>
    <xf numFmtId="49" fontId="38" fillId="0" borderId="3" xfId="0" applyNumberFormat="1" applyFont="1" applyFill="1" applyBorder="1" applyAlignment="1">
      <alignment horizontal="center" vertical="justify"/>
    </xf>
    <xf numFmtId="49" fontId="38" fillId="0" borderId="3" xfId="0" applyNumberFormat="1" applyFont="1" applyFill="1" applyBorder="1" applyAlignment="1">
      <alignment horizontal="center" vertical="top" wrapText="1"/>
    </xf>
    <xf numFmtId="49" fontId="38" fillId="0" borderId="4" xfId="0" applyNumberFormat="1" applyFont="1" applyFill="1" applyBorder="1" applyAlignment="1">
      <alignment horizontal="center" vertical="justify"/>
    </xf>
    <xf numFmtId="49" fontId="38" fillId="0" borderId="4" xfId="0" applyNumberFormat="1" applyFont="1" applyFill="1" applyBorder="1" applyAlignment="1">
      <alignment horizontal="center" vertical="top" wrapText="1"/>
    </xf>
    <xf numFmtId="0" fontId="66" fillId="0" borderId="0" xfId="0" applyFont="1" applyFill="1"/>
    <xf numFmtId="0" fontId="38" fillId="0" borderId="3" xfId="0" applyFont="1" applyFill="1" applyBorder="1" applyAlignment="1">
      <alignment horizontal="left" vertical="top" wrapText="1"/>
    </xf>
    <xf numFmtId="49" fontId="38" fillId="0" borderId="5" xfId="0" applyNumberFormat="1" applyFont="1" applyFill="1" applyBorder="1" applyAlignment="1">
      <alignment horizontal="center" vertical="justify"/>
    </xf>
    <xf numFmtId="49" fontId="38" fillId="0" borderId="5" xfId="0" applyNumberFormat="1" applyFont="1" applyFill="1" applyBorder="1" applyAlignment="1">
      <alignment horizontal="center" vertical="top" wrapText="1"/>
    </xf>
    <xf numFmtId="49" fontId="38" fillId="0" borderId="3" xfId="0" applyNumberFormat="1" applyFont="1" applyFill="1" applyBorder="1" applyAlignment="1">
      <alignment horizontal="left" vertical="top" wrapText="1"/>
    </xf>
    <xf numFmtId="49" fontId="43" fillId="0" borderId="2" xfId="0" applyNumberFormat="1" applyFont="1" applyFill="1" applyBorder="1" applyAlignment="1">
      <alignment horizontal="center" vertical="top" wrapText="1"/>
    </xf>
    <xf numFmtId="49" fontId="43" fillId="0" borderId="2" xfId="0" applyNumberFormat="1" applyFont="1" applyFill="1" applyBorder="1" applyAlignment="1">
      <alignment horizontal="center" vertical="top"/>
    </xf>
    <xf numFmtId="49" fontId="38" fillId="0" borderId="4" xfId="0" applyNumberFormat="1" applyFont="1" applyFill="1" applyBorder="1" applyAlignment="1">
      <alignment horizontal="left" vertical="top" wrapText="1"/>
    </xf>
    <xf numFmtId="0" fontId="38" fillId="0" borderId="2" xfId="0" applyNumberFormat="1" applyFont="1" applyFill="1" applyBorder="1" applyAlignment="1">
      <alignment vertical="top" wrapText="1"/>
    </xf>
    <xf numFmtId="167" fontId="38" fillId="0" borderId="7" xfId="0" applyNumberFormat="1" applyFont="1" applyFill="1" applyBorder="1" applyAlignment="1">
      <alignment vertical="top"/>
    </xf>
    <xf numFmtId="166" fontId="65" fillId="0" borderId="2" xfId="0" applyNumberFormat="1" applyFont="1" applyBorder="1" applyAlignment="1">
      <alignment vertical="top" wrapText="1"/>
    </xf>
    <xf numFmtId="166" fontId="38" fillId="0" borderId="2" xfId="0" applyNumberFormat="1" applyFont="1" applyBorder="1" applyAlignment="1">
      <alignment vertical="top" wrapText="1"/>
    </xf>
    <xf numFmtId="167" fontId="38" fillId="0" borderId="2" xfId="0" applyNumberFormat="1" applyFont="1" applyFill="1" applyBorder="1" applyAlignment="1">
      <alignment horizontal="center" vertical="top" wrapText="1"/>
    </xf>
    <xf numFmtId="49" fontId="44" fillId="0" borderId="2" xfId="0" applyNumberFormat="1" applyFont="1" applyFill="1" applyBorder="1" applyAlignment="1">
      <alignment vertical="top"/>
    </xf>
    <xf numFmtId="0" fontId="67" fillId="0" borderId="0" xfId="0" applyFont="1" applyFill="1"/>
    <xf numFmtId="0" fontId="38" fillId="0" borderId="3" xfId="0" applyFont="1" applyFill="1" applyBorder="1" applyAlignment="1">
      <alignment horizontal="left" vertical="top" wrapText="1"/>
    </xf>
    <xf numFmtId="167" fontId="38" fillId="0" borderId="3" xfId="0" applyNumberFormat="1" applyFont="1" applyFill="1" applyBorder="1" applyAlignment="1">
      <alignment vertical="top" wrapText="1"/>
    </xf>
    <xf numFmtId="49" fontId="43" fillId="0" borderId="2" xfId="0" applyNumberFormat="1" applyFont="1" applyFill="1" applyBorder="1" applyAlignment="1">
      <alignment horizontal="center" vertical="top"/>
    </xf>
    <xf numFmtId="49" fontId="38" fillId="0" borderId="3" xfId="0" applyNumberFormat="1" applyFont="1" applyFill="1" applyBorder="1" applyAlignment="1">
      <alignment vertical="top" wrapText="1"/>
    </xf>
    <xf numFmtId="166" fontId="45" fillId="0" borderId="2" xfId="0" applyNumberFormat="1" applyFont="1" applyBorder="1" applyAlignment="1">
      <alignment vertical="top" wrapText="1"/>
    </xf>
    <xf numFmtId="166" fontId="44" fillId="0" borderId="2" xfId="0" applyNumberFormat="1" applyFont="1" applyBorder="1" applyAlignment="1">
      <alignment vertical="top" wrapText="1"/>
    </xf>
    <xf numFmtId="0" fontId="38" fillId="0" borderId="5" xfId="0" applyFont="1" applyBorder="1" applyAlignment="1">
      <alignment horizontal="center" vertical="top" wrapText="1"/>
    </xf>
    <xf numFmtId="0" fontId="38" fillId="0" borderId="5" xfId="0" applyFont="1" applyFill="1" applyBorder="1" applyAlignment="1">
      <alignment horizontal="left" vertical="top" wrapText="1"/>
    </xf>
    <xf numFmtId="0" fontId="3" fillId="0" borderId="2" xfId="0" applyFont="1" applyBorder="1"/>
    <xf numFmtId="0" fontId="38" fillId="0" borderId="2" xfId="0" applyFont="1" applyFill="1" applyBorder="1" applyAlignment="1">
      <alignment vertical="top" wrapText="1"/>
    </xf>
    <xf numFmtId="49" fontId="1" fillId="0" borderId="2" xfId="0" applyNumberFormat="1" applyFont="1" applyBorder="1" applyAlignment="1">
      <alignment vertical="justify"/>
    </xf>
    <xf numFmtId="49" fontId="1" fillId="0" borderId="2" xfId="0" applyNumberFormat="1" applyFont="1" applyBorder="1"/>
    <xf numFmtId="49" fontId="1" fillId="0" borderId="2" xfId="0" applyNumberFormat="1" applyFont="1" applyBorder="1" applyAlignment="1">
      <alignment wrapText="1"/>
    </xf>
    <xf numFmtId="49" fontId="1" fillId="0" borderId="2" xfId="0" applyNumberFormat="1" applyFont="1" applyFill="1" applyBorder="1"/>
    <xf numFmtId="166" fontId="68" fillId="0" borderId="2" xfId="0" applyNumberFormat="1" applyFont="1" applyBorder="1" applyAlignment="1">
      <alignment horizontal="right"/>
    </xf>
    <xf numFmtId="166" fontId="1" fillId="0" borderId="2" xfId="0" applyNumberFormat="1" applyFont="1" applyBorder="1" applyAlignment="1">
      <alignment horizontal="right"/>
    </xf>
    <xf numFmtId="0" fontId="21" fillId="11" borderId="2" xfId="0" applyFont="1" applyFill="1" applyBorder="1" applyAlignment="1">
      <alignment wrapText="1"/>
    </xf>
    <xf numFmtId="0" fontId="21" fillId="11" borderId="6" xfId="0" applyFont="1" applyFill="1" applyBorder="1" applyAlignment="1">
      <alignment horizontal="center" vertical="top" wrapText="1"/>
    </xf>
    <xf numFmtId="0" fontId="21" fillId="11" borderId="7" xfId="0" applyFont="1" applyFill="1" applyBorder="1" applyAlignment="1">
      <alignment horizontal="center" vertical="top" wrapText="1"/>
    </xf>
    <xf numFmtId="0" fontId="15" fillId="11" borderId="7" xfId="0" applyFont="1" applyFill="1" applyBorder="1" applyAlignment="1">
      <alignment horizontal="center" vertical="top" wrapText="1"/>
    </xf>
    <xf numFmtId="166" fontId="15" fillId="11" borderId="2" xfId="0" applyNumberFormat="1" applyFont="1" applyFill="1" applyBorder="1" applyAlignment="1">
      <alignment horizontal="right" vertical="top" wrapText="1"/>
    </xf>
    <xf numFmtId="166" fontId="69" fillId="11" borderId="8" xfId="0" applyNumberFormat="1" applyFont="1" applyFill="1" applyBorder="1" applyAlignment="1">
      <alignment wrapText="1" shrinkToFit="1"/>
    </xf>
    <xf numFmtId="166" fontId="15" fillId="11" borderId="8" xfId="0" applyNumberFormat="1" applyFont="1" applyFill="1" applyBorder="1" applyAlignment="1">
      <alignment wrapText="1" shrinkToFit="1"/>
    </xf>
    <xf numFmtId="166" fontId="15" fillId="11" borderId="2" xfId="0" applyNumberFormat="1" applyFont="1" applyFill="1" applyBorder="1" applyAlignment="1">
      <alignment wrapText="1" shrinkToFit="1"/>
    </xf>
    <xf numFmtId="0" fontId="53" fillId="12" borderId="2" xfId="0" applyFont="1" applyFill="1" applyBorder="1" applyAlignment="1">
      <alignment horizontal="center" wrapText="1"/>
    </xf>
    <xf numFmtId="166" fontId="15" fillId="12" borderId="2" xfId="0" applyNumberFormat="1" applyFont="1" applyFill="1" applyBorder="1" applyAlignment="1">
      <alignment horizontal="right"/>
    </xf>
  </cellXfs>
  <cellStyles count="6">
    <cellStyle name="Денежный" xfId="2" builtinId="4"/>
    <cellStyle name="Обычный" xfId="0" builtinId="0"/>
    <cellStyle name="Обычный 2" xfId="4"/>
    <cellStyle name="Обычный_Tmp" xfId="3"/>
    <cellStyle name="Процентный" xfId="5" builtinId="5"/>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B1620"/>
  <sheetViews>
    <sheetView tabSelected="1" view="pageBreakPreview" zoomScale="80" zoomScaleNormal="100" zoomScaleSheetLayoutView="80" workbookViewId="0">
      <pane ySplit="1" topLeftCell="A626" activePane="bottomLeft" state="frozen"/>
      <selection pane="bottomLeft" activeCell="J39" sqref="J39"/>
    </sheetView>
  </sheetViews>
  <sheetFormatPr defaultColWidth="9.109375" defaultRowHeight="13.2" x14ac:dyDescent="0.25"/>
  <cols>
    <col min="1" max="1" width="7.88671875" style="1" customWidth="1"/>
    <col min="2" max="2" width="16.44140625" style="2" customWidth="1"/>
    <col min="3" max="3" width="33.88671875" style="3" customWidth="1"/>
    <col min="4" max="4" width="10.109375" style="4" customWidth="1"/>
    <col min="5" max="5" width="11.5546875" style="4" customWidth="1"/>
    <col min="6" max="6" width="5.6640625" style="5" customWidth="1"/>
    <col min="7" max="7" width="9.109375" style="5" customWidth="1"/>
    <col min="8" max="8" width="14.88671875" style="5" customWidth="1"/>
    <col min="9" max="9" width="6.88671875" style="5" bestFit="1" customWidth="1"/>
    <col min="10" max="10" width="11.6640625" style="6" customWidth="1"/>
    <col min="11" max="11" width="11.77734375" style="6" customWidth="1"/>
    <col min="12" max="12" width="12.5546875" style="7" customWidth="1"/>
    <col min="13" max="13" width="12.21875" style="7" customWidth="1"/>
    <col min="14" max="14" width="12.6640625" style="7" customWidth="1"/>
    <col min="15" max="15" width="14" style="7" customWidth="1"/>
    <col min="16" max="16" width="10" style="1" bestFit="1" customWidth="1"/>
    <col min="17" max="19" width="9.109375" style="1"/>
    <col min="20" max="20" width="35.33203125" style="1" customWidth="1"/>
    <col min="21" max="16384" width="9.109375" style="1"/>
  </cols>
  <sheetData>
    <row r="2" spans="1:45" ht="22.8" customHeight="1" x14ac:dyDescent="0.25">
      <c r="A2" s="388" t="s">
        <v>57</v>
      </c>
      <c r="B2" s="388"/>
      <c r="C2" s="388"/>
      <c r="D2" s="388"/>
      <c r="E2" s="388"/>
      <c r="F2" s="388"/>
      <c r="G2" s="388"/>
      <c r="H2" s="388"/>
      <c r="I2" s="388"/>
      <c r="J2" s="388"/>
      <c r="K2" s="388"/>
      <c r="L2" s="388"/>
      <c r="M2" s="388"/>
      <c r="N2" s="388"/>
      <c r="O2" s="388"/>
    </row>
    <row r="3" spans="1:45" ht="31.2" customHeight="1" x14ac:dyDescent="0.25">
      <c r="A3" s="389" t="s">
        <v>58</v>
      </c>
      <c r="B3" s="389"/>
      <c r="C3" s="389"/>
      <c r="D3" s="389"/>
      <c r="E3" s="389"/>
      <c r="F3" s="389"/>
      <c r="G3" s="389"/>
      <c r="H3" s="389"/>
      <c r="I3" s="389"/>
      <c r="J3" s="389"/>
      <c r="K3" s="389"/>
      <c r="L3" s="389"/>
      <c r="M3" s="389"/>
      <c r="N3" s="389"/>
      <c r="O3" s="389"/>
    </row>
    <row r="4" spans="1:45" s="37" customFormat="1" ht="57.6" customHeight="1" x14ac:dyDescent="0.3">
      <c r="A4" s="390" t="s">
        <v>0</v>
      </c>
      <c r="B4" s="393" t="s">
        <v>1</v>
      </c>
      <c r="C4" s="394" t="s">
        <v>2</v>
      </c>
      <c r="D4" s="395"/>
      <c r="E4" s="396"/>
      <c r="F4" s="385" t="s">
        <v>3</v>
      </c>
      <c r="G4" s="385"/>
      <c r="H4" s="385"/>
      <c r="I4" s="385"/>
      <c r="J4" s="397" t="s">
        <v>4</v>
      </c>
      <c r="K4" s="397"/>
      <c r="L4" s="397"/>
      <c r="M4" s="397"/>
      <c r="N4" s="397"/>
      <c r="O4" s="397"/>
    </row>
    <row r="5" spans="1:45" s="36" customFormat="1" ht="12.75" customHeight="1" x14ac:dyDescent="0.3">
      <c r="A5" s="391"/>
      <c r="B5" s="393"/>
      <c r="C5" s="398" t="s">
        <v>5</v>
      </c>
      <c r="D5" s="398" t="s">
        <v>6</v>
      </c>
      <c r="E5" s="398" t="s">
        <v>7</v>
      </c>
      <c r="F5" s="385" t="s">
        <v>8</v>
      </c>
      <c r="G5" s="385" t="s">
        <v>9</v>
      </c>
      <c r="H5" s="385" t="s">
        <v>10</v>
      </c>
      <c r="I5" s="385" t="s">
        <v>11</v>
      </c>
      <c r="J5" s="397" t="s">
        <v>48</v>
      </c>
      <c r="K5" s="397"/>
      <c r="L5" s="397" t="s">
        <v>56</v>
      </c>
      <c r="M5" s="400" t="s">
        <v>12</v>
      </c>
      <c r="N5" s="403" t="s">
        <v>42</v>
      </c>
      <c r="O5" s="397" t="s">
        <v>49</v>
      </c>
    </row>
    <row r="6" spans="1:45" s="36" customFormat="1" ht="36" customHeight="1" x14ac:dyDescent="0.3">
      <c r="A6" s="391"/>
      <c r="B6" s="393"/>
      <c r="C6" s="398"/>
      <c r="D6" s="398"/>
      <c r="E6" s="399"/>
      <c r="F6" s="385"/>
      <c r="G6" s="385"/>
      <c r="H6" s="385"/>
      <c r="I6" s="385"/>
      <c r="J6" s="397"/>
      <c r="K6" s="397"/>
      <c r="L6" s="397"/>
      <c r="M6" s="401"/>
      <c r="N6" s="404"/>
      <c r="O6" s="397"/>
    </row>
    <row r="7" spans="1:45" s="36" customFormat="1" ht="12.9" customHeight="1" x14ac:dyDescent="0.3">
      <c r="A7" s="391"/>
      <c r="B7" s="393"/>
      <c r="C7" s="398"/>
      <c r="D7" s="398"/>
      <c r="E7" s="399"/>
      <c r="F7" s="385"/>
      <c r="G7" s="385"/>
      <c r="H7" s="385"/>
      <c r="I7" s="385"/>
      <c r="J7" s="397" t="s">
        <v>13</v>
      </c>
      <c r="K7" s="397" t="s">
        <v>14</v>
      </c>
      <c r="L7" s="397"/>
      <c r="M7" s="401"/>
      <c r="N7" s="404"/>
      <c r="O7" s="397"/>
    </row>
    <row r="8" spans="1:45" s="36" customFormat="1" ht="67.95" customHeight="1" x14ac:dyDescent="0.3">
      <c r="A8" s="392"/>
      <c r="B8" s="393"/>
      <c r="C8" s="398"/>
      <c r="D8" s="398"/>
      <c r="E8" s="399"/>
      <c r="F8" s="385"/>
      <c r="G8" s="385"/>
      <c r="H8" s="385"/>
      <c r="I8" s="385"/>
      <c r="J8" s="397"/>
      <c r="K8" s="397"/>
      <c r="L8" s="397"/>
      <c r="M8" s="402"/>
      <c r="N8" s="405"/>
      <c r="O8" s="397"/>
    </row>
    <row r="9" spans="1:45" s="10" customFormat="1" x14ac:dyDescent="0.25">
      <c r="A9" s="8">
        <v>1</v>
      </c>
      <c r="B9" s="9">
        <v>2</v>
      </c>
      <c r="C9" s="8">
        <v>3</v>
      </c>
      <c r="D9" s="9">
        <v>4</v>
      </c>
      <c r="E9" s="8">
        <v>5</v>
      </c>
      <c r="F9" s="9">
        <v>6</v>
      </c>
      <c r="G9" s="8">
        <v>7</v>
      </c>
      <c r="H9" s="9">
        <v>8</v>
      </c>
      <c r="I9" s="9">
        <v>9</v>
      </c>
      <c r="J9" s="8">
        <v>10</v>
      </c>
      <c r="K9" s="9">
        <v>11</v>
      </c>
      <c r="L9" s="8">
        <v>12</v>
      </c>
      <c r="M9" s="9">
        <v>13</v>
      </c>
      <c r="N9" s="8">
        <v>14</v>
      </c>
      <c r="O9" s="9">
        <v>15</v>
      </c>
      <c r="Z9" s="11"/>
      <c r="AA9" s="11"/>
      <c r="AB9" s="11"/>
      <c r="AC9" s="11"/>
      <c r="AD9" s="11"/>
      <c r="AE9" s="11"/>
      <c r="AF9" s="11"/>
      <c r="AG9" s="11"/>
      <c r="AH9" s="11"/>
      <c r="AI9" s="11"/>
      <c r="AJ9" s="11"/>
      <c r="AK9" s="11"/>
      <c r="AL9" s="11"/>
      <c r="AM9" s="11"/>
      <c r="AN9" s="11"/>
      <c r="AO9" s="11"/>
      <c r="AP9" s="12"/>
      <c r="AQ9" s="12"/>
      <c r="AR9" s="12"/>
      <c r="AS9" s="12"/>
    </row>
    <row r="10" spans="1:45" s="54" customFormat="1" ht="18.75" customHeight="1" x14ac:dyDescent="0.3">
      <c r="A10" s="57">
        <v>901</v>
      </c>
      <c r="B10" s="383" t="s">
        <v>59</v>
      </c>
      <c r="C10" s="383"/>
      <c r="D10" s="383"/>
      <c r="E10" s="383"/>
      <c r="F10" s="383"/>
      <c r="G10" s="383"/>
      <c r="H10" s="384"/>
      <c r="I10" s="49"/>
      <c r="J10" s="50">
        <f t="shared" ref="J10:O10" si="0">J12</f>
        <v>4934.8</v>
      </c>
      <c r="K10" s="50">
        <f t="shared" si="0"/>
        <v>4934.8</v>
      </c>
      <c r="L10" s="50">
        <f t="shared" si="0"/>
        <v>5544.6799999999994</v>
      </c>
      <c r="M10" s="50">
        <f t="shared" si="0"/>
        <v>6043.4000000000005</v>
      </c>
      <c r="N10" s="50">
        <f t="shared" si="0"/>
        <v>6440.3</v>
      </c>
      <c r="O10" s="50">
        <f t="shared" si="0"/>
        <v>6477.9000000000005</v>
      </c>
      <c r="P10" s="55"/>
      <c r="Q10" s="51"/>
      <c r="R10" s="51"/>
      <c r="S10" s="51"/>
      <c r="T10" s="51"/>
      <c r="U10" s="51"/>
      <c r="V10" s="51"/>
      <c r="W10" s="51"/>
      <c r="X10" s="51"/>
      <c r="Y10" s="51"/>
      <c r="Z10" s="51"/>
      <c r="AA10" s="52"/>
      <c r="AB10" s="52"/>
      <c r="AC10" s="52"/>
      <c r="AD10" s="52"/>
      <c r="AE10" s="52"/>
      <c r="AF10" s="52"/>
      <c r="AG10" s="52"/>
      <c r="AH10" s="52"/>
      <c r="AI10" s="52"/>
      <c r="AJ10" s="52"/>
      <c r="AK10" s="52"/>
      <c r="AL10" s="52"/>
      <c r="AM10" s="52"/>
      <c r="AN10" s="52"/>
      <c r="AO10" s="52"/>
      <c r="AP10" s="53"/>
      <c r="AQ10" s="53"/>
      <c r="AR10" s="53"/>
      <c r="AS10" s="53"/>
    </row>
    <row r="11" spans="1:45" s="15" customFormat="1" ht="31.65" customHeight="1" x14ac:dyDescent="0.25">
      <c r="A11" s="334" t="s">
        <v>15</v>
      </c>
      <c r="B11" s="334"/>
      <c r="C11" s="334"/>
      <c r="D11" s="334"/>
      <c r="E11" s="334"/>
      <c r="F11" s="334"/>
      <c r="G11" s="334"/>
      <c r="H11" s="334"/>
      <c r="I11" s="334"/>
      <c r="J11" s="334"/>
      <c r="K11" s="334"/>
      <c r="L11" s="334"/>
      <c r="M11" s="334"/>
      <c r="N11" s="334"/>
      <c r="O11" s="334"/>
      <c r="P11" s="13"/>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row>
    <row r="12" spans="1:45" s="19" customFormat="1" ht="75.599999999999994" customHeight="1" x14ac:dyDescent="0.25">
      <c r="A12" s="339">
        <v>901</v>
      </c>
      <c r="B12" s="339" t="s">
        <v>16</v>
      </c>
      <c r="C12" s="16" t="s">
        <v>17</v>
      </c>
      <c r="D12" s="17" t="s">
        <v>18</v>
      </c>
      <c r="E12" s="16" t="s">
        <v>19</v>
      </c>
      <c r="F12" s="18"/>
      <c r="G12" s="18"/>
      <c r="H12" s="18"/>
      <c r="I12" s="18"/>
      <c r="J12" s="39">
        <f t="shared" ref="J12:O12" si="1">J13+J16</f>
        <v>4934.8</v>
      </c>
      <c r="K12" s="39">
        <f t="shared" si="1"/>
        <v>4934.8</v>
      </c>
      <c r="L12" s="39">
        <f t="shared" si="1"/>
        <v>5544.6799999999994</v>
      </c>
      <c r="M12" s="39">
        <f>M13+M16</f>
        <v>6043.4000000000005</v>
      </c>
      <c r="N12" s="39">
        <f t="shared" si="1"/>
        <v>6440.3</v>
      </c>
      <c r="O12" s="39">
        <f t="shared" si="1"/>
        <v>6477.9000000000005</v>
      </c>
    </row>
    <row r="13" spans="1:45" s="19" customFormat="1" ht="70.2" customHeight="1" x14ac:dyDescent="0.25">
      <c r="A13" s="340"/>
      <c r="B13" s="340"/>
      <c r="C13" s="16" t="s">
        <v>23</v>
      </c>
      <c r="D13" s="17" t="s">
        <v>24</v>
      </c>
      <c r="E13" s="16" t="s">
        <v>25</v>
      </c>
      <c r="F13" s="18" t="s">
        <v>20</v>
      </c>
      <c r="G13" s="18" t="s">
        <v>21</v>
      </c>
      <c r="H13" s="18" t="s">
        <v>22</v>
      </c>
      <c r="I13" s="18"/>
      <c r="J13" s="40">
        <f t="shared" ref="J13:O13" si="2">J14+J15</f>
        <v>1703.1000000000001</v>
      </c>
      <c r="K13" s="40">
        <f t="shared" si="2"/>
        <v>1703.1000000000001</v>
      </c>
      <c r="L13" s="40">
        <f t="shared" si="2"/>
        <v>1947.08</v>
      </c>
      <c r="M13" s="40">
        <f>M14+M15</f>
        <v>1949.8</v>
      </c>
      <c r="N13" s="40">
        <f t="shared" si="2"/>
        <v>2007.8</v>
      </c>
      <c r="O13" s="40">
        <f t="shared" si="2"/>
        <v>2007.8</v>
      </c>
    </row>
    <row r="14" spans="1:45" s="35" customFormat="1" ht="49.5" customHeight="1" x14ac:dyDescent="0.25">
      <c r="A14" s="340"/>
      <c r="B14" s="340"/>
      <c r="C14" s="24" t="s">
        <v>53</v>
      </c>
      <c r="D14" s="23"/>
      <c r="E14" s="24" t="s">
        <v>52</v>
      </c>
      <c r="F14" s="34" t="s">
        <v>20</v>
      </c>
      <c r="G14" s="34" t="s">
        <v>21</v>
      </c>
      <c r="H14" s="34" t="s">
        <v>22</v>
      </c>
      <c r="I14" s="34" t="s">
        <v>27</v>
      </c>
      <c r="J14" s="41">
        <v>1345.4</v>
      </c>
      <c r="K14" s="41">
        <v>1345.4</v>
      </c>
      <c r="L14" s="41">
        <v>1468.54</v>
      </c>
      <c r="M14" s="41">
        <f>1487.5+10</f>
        <v>1497.5</v>
      </c>
      <c r="N14" s="41">
        <f>1532.1+10</f>
        <v>1542.1</v>
      </c>
      <c r="O14" s="41">
        <f>1532.1+10</f>
        <v>1542.1</v>
      </c>
    </row>
    <row r="15" spans="1:45" s="35" customFormat="1" ht="67.8" customHeight="1" x14ac:dyDescent="0.25">
      <c r="A15" s="340"/>
      <c r="B15" s="340"/>
      <c r="C15" s="24" t="s">
        <v>31</v>
      </c>
      <c r="D15" s="23"/>
      <c r="E15" s="24" t="s">
        <v>32</v>
      </c>
      <c r="F15" s="34" t="s">
        <v>20</v>
      </c>
      <c r="G15" s="34" t="s">
        <v>21</v>
      </c>
      <c r="H15" s="34" t="s">
        <v>22</v>
      </c>
      <c r="I15" s="34" t="s">
        <v>28</v>
      </c>
      <c r="J15" s="41">
        <v>357.7</v>
      </c>
      <c r="K15" s="41">
        <v>357.7</v>
      </c>
      <c r="L15" s="41">
        <v>478.54</v>
      </c>
      <c r="M15" s="41">
        <v>452.3</v>
      </c>
      <c r="N15" s="41">
        <v>465.7</v>
      </c>
      <c r="O15" s="41">
        <v>465.7</v>
      </c>
    </row>
    <row r="16" spans="1:45" s="21" customFormat="1" ht="43.8" customHeight="1" x14ac:dyDescent="0.25">
      <c r="A16" s="340"/>
      <c r="B16" s="340"/>
      <c r="C16" s="16" t="s">
        <v>23</v>
      </c>
      <c r="D16" s="16" t="s">
        <v>24</v>
      </c>
      <c r="E16" s="16" t="s">
        <v>25</v>
      </c>
      <c r="F16" s="20" t="s">
        <v>20</v>
      </c>
      <c r="G16" s="20" t="s">
        <v>21</v>
      </c>
      <c r="H16" s="20" t="s">
        <v>26</v>
      </c>
      <c r="I16" s="20"/>
      <c r="J16" s="40">
        <f>J17+J18+J19+J20+J21+J22+J23+J24</f>
        <v>3231.7</v>
      </c>
      <c r="K16" s="40">
        <f t="shared" ref="K16:O16" si="3">K17+K18+K19+K20+K21+K22+K23+K24</f>
        <v>3231.7</v>
      </c>
      <c r="L16" s="40">
        <f t="shared" si="3"/>
        <v>3597.5999999999995</v>
      </c>
      <c r="M16" s="40">
        <f>M17+M18+M19+M20+M21+M22+M23+M24</f>
        <v>4093.6000000000004</v>
      </c>
      <c r="N16" s="40">
        <f t="shared" si="3"/>
        <v>4432.5</v>
      </c>
      <c r="O16" s="40">
        <f t="shared" si="3"/>
        <v>4470.1000000000004</v>
      </c>
      <c r="T16" s="38"/>
    </row>
    <row r="17" spans="1:21" s="21" customFormat="1" ht="78" customHeight="1" x14ac:dyDescent="0.25">
      <c r="A17" s="340"/>
      <c r="B17" s="340"/>
      <c r="C17" s="22" t="s">
        <v>51</v>
      </c>
      <c r="D17" s="23"/>
      <c r="E17" s="24" t="s">
        <v>52</v>
      </c>
      <c r="F17" s="25" t="s">
        <v>20</v>
      </c>
      <c r="G17" s="25" t="s">
        <v>21</v>
      </c>
      <c r="H17" s="25" t="s">
        <v>26</v>
      </c>
      <c r="I17" s="25" t="s">
        <v>27</v>
      </c>
      <c r="J17" s="42">
        <v>2074.1</v>
      </c>
      <c r="K17" s="42">
        <v>2074.1</v>
      </c>
      <c r="L17" s="43">
        <v>2306.1</v>
      </c>
      <c r="M17" s="43">
        <f>2657.9+10</f>
        <v>2667.9</v>
      </c>
      <c r="N17" s="43">
        <f>2737.6+10</f>
        <v>2747.6</v>
      </c>
      <c r="O17" s="43">
        <f>2737.6+10</f>
        <v>2747.6</v>
      </c>
      <c r="T17" s="48"/>
    </row>
    <row r="18" spans="1:21" s="21" customFormat="1" ht="27.6" x14ac:dyDescent="0.25">
      <c r="A18" s="340"/>
      <c r="B18" s="340"/>
      <c r="C18" s="47" t="s">
        <v>29</v>
      </c>
      <c r="D18" s="23"/>
      <c r="E18" s="24"/>
      <c r="F18" s="25" t="s">
        <v>20</v>
      </c>
      <c r="G18" s="25" t="s">
        <v>21</v>
      </c>
      <c r="H18" s="25" t="s">
        <v>26</v>
      </c>
      <c r="I18" s="25" t="s">
        <v>30</v>
      </c>
      <c r="J18" s="42">
        <v>0</v>
      </c>
      <c r="K18" s="42">
        <v>0</v>
      </c>
      <c r="L18" s="43">
        <v>0</v>
      </c>
      <c r="M18" s="43">
        <v>15</v>
      </c>
      <c r="N18" s="43">
        <v>15</v>
      </c>
      <c r="O18" s="43">
        <v>15</v>
      </c>
    </row>
    <row r="19" spans="1:21" s="21" customFormat="1" ht="66" customHeight="1" x14ac:dyDescent="0.25">
      <c r="A19" s="340"/>
      <c r="B19" s="340"/>
      <c r="C19" s="24" t="s">
        <v>31</v>
      </c>
      <c r="D19" s="23"/>
      <c r="E19" s="24" t="s">
        <v>32</v>
      </c>
      <c r="F19" s="25" t="s">
        <v>20</v>
      </c>
      <c r="G19" s="25" t="s">
        <v>21</v>
      </c>
      <c r="H19" s="25" t="s">
        <v>26</v>
      </c>
      <c r="I19" s="25" t="s">
        <v>28</v>
      </c>
      <c r="J19" s="42">
        <v>552.1</v>
      </c>
      <c r="K19" s="42">
        <v>552.1</v>
      </c>
      <c r="L19" s="43">
        <v>759.1</v>
      </c>
      <c r="M19" s="43">
        <v>805.5</v>
      </c>
      <c r="N19" s="43">
        <v>829.4</v>
      </c>
      <c r="O19" s="43">
        <v>830.2</v>
      </c>
    </row>
    <row r="20" spans="1:21" s="21" customFormat="1" ht="30" customHeight="1" x14ac:dyDescent="0.25">
      <c r="A20" s="340"/>
      <c r="B20" s="340"/>
      <c r="C20" s="24" t="s">
        <v>44</v>
      </c>
      <c r="D20" s="23"/>
      <c r="E20" s="24" t="s">
        <v>45</v>
      </c>
      <c r="F20" s="25" t="s">
        <v>20</v>
      </c>
      <c r="G20" s="25" t="s">
        <v>21</v>
      </c>
      <c r="H20" s="25" t="s">
        <v>26</v>
      </c>
      <c r="I20" s="25" t="s">
        <v>43</v>
      </c>
      <c r="J20" s="42">
        <v>190.5</v>
      </c>
      <c r="K20" s="42">
        <v>190.5</v>
      </c>
      <c r="L20" s="43">
        <v>0</v>
      </c>
      <c r="M20" s="43">
        <v>0</v>
      </c>
      <c r="N20" s="43">
        <v>0</v>
      </c>
      <c r="O20" s="43">
        <v>0</v>
      </c>
    </row>
    <row r="21" spans="1:21" s="21" customFormat="1" ht="62.4" customHeight="1" x14ac:dyDescent="0.25">
      <c r="A21" s="340"/>
      <c r="B21" s="340"/>
      <c r="C21" s="27" t="s">
        <v>50</v>
      </c>
      <c r="D21" s="26"/>
      <c r="E21" s="27" t="s">
        <v>46</v>
      </c>
      <c r="F21" s="28" t="s">
        <v>20</v>
      </c>
      <c r="G21" s="28" t="s">
        <v>21</v>
      </c>
      <c r="H21" s="28" t="s">
        <v>26</v>
      </c>
      <c r="I21" s="28" t="s">
        <v>33</v>
      </c>
      <c r="J21" s="44">
        <v>411.8</v>
      </c>
      <c r="K21" s="44">
        <v>411.8</v>
      </c>
      <c r="L21" s="45">
        <v>529.20000000000005</v>
      </c>
      <c r="M21" s="45">
        <v>597.20000000000005</v>
      </c>
      <c r="N21" s="45">
        <v>832.5</v>
      </c>
      <c r="O21" s="45">
        <v>869.3</v>
      </c>
    </row>
    <row r="22" spans="1:21" s="32" customFormat="1" ht="51.75" customHeight="1" x14ac:dyDescent="0.25">
      <c r="A22" s="340"/>
      <c r="B22" s="340"/>
      <c r="C22" s="29" t="s">
        <v>54</v>
      </c>
      <c r="D22" s="29" t="s">
        <v>34</v>
      </c>
      <c r="E22" s="30" t="s">
        <v>47</v>
      </c>
      <c r="F22" s="31" t="s">
        <v>20</v>
      </c>
      <c r="G22" s="31" t="s">
        <v>21</v>
      </c>
      <c r="H22" s="31" t="s">
        <v>26</v>
      </c>
      <c r="I22" s="31" t="s">
        <v>35</v>
      </c>
      <c r="J22" s="46">
        <v>0</v>
      </c>
      <c r="K22" s="46">
        <v>0</v>
      </c>
      <c r="L22" s="46">
        <v>0</v>
      </c>
      <c r="M22" s="46">
        <v>0</v>
      </c>
      <c r="N22" s="46">
        <v>0</v>
      </c>
      <c r="O22" s="46">
        <v>0</v>
      </c>
    </row>
    <row r="23" spans="1:21" s="32" customFormat="1" ht="49.5" customHeight="1" x14ac:dyDescent="0.25">
      <c r="A23" s="340"/>
      <c r="B23" s="340"/>
      <c r="C23" s="29" t="s">
        <v>55</v>
      </c>
      <c r="D23" s="29" t="s">
        <v>36</v>
      </c>
      <c r="E23" s="30" t="s">
        <v>47</v>
      </c>
      <c r="F23" s="31" t="s">
        <v>20</v>
      </c>
      <c r="G23" s="31" t="s">
        <v>21</v>
      </c>
      <c r="H23" s="31" t="s">
        <v>26</v>
      </c>
      <c r="I23" s="31" t="s">
        <v>37</v>
      </c>
      <c r="J23" s="46">
        <v>3.1</v>
      </c>
      <c r="K23" s="46">
        <v>3.1</v>
      </c>
      <c r="L23" s="46">
        <v>3.1</v>
      </c>
      <c r="M23" s="46">
        <v>7.9</v>
      </c>
      <c r="N23" s="46">
        <v>7.9</v>
      </c>
      <c r="O23" s="46">
        <v>7.9</v>
      </c>
    </row>
    <row r="24" spans="1:21" s="21" customFormat="1" ht="61.8" customHeight="1" x14ac:dyDescent="0.25">
      <c r="A24" s="382"/>
      <c r="B24" s="382"/>
      <c r="C24" s="29" t="s">
        <v>38</v>
      </c>
      <c r="D24" s="29" t="s">
        <v>39</v>
      </c>
      <c r="E24" s="33" t="s">
        <v>40</v>
      </c>
      <c r="F24" s="31" t="s">
        <v>20</v>
      </c>
      <c r="G24" s="31" t="s">
        <v>21</v>
      </c>
      <c r="H24" s="31" t="s">
        <v>26</v>
      </c>
      <c r="I24" s="31" t="s">
        <v>41</v>
      </c>
      <c r="J24" s="46">
        <v>0.1</v>
      </c>
      <c r="K24" s="46">
        <v>0.1</v>
      </c>
      <c r="L24" s="46">
        <v>0.1</v>
      </c>
      <c r="M24" s="46">
        <v>0.1</v>
      </c>
      <c r="N24" s="46">
        <v>0.1</v>
      </c>
      <c r="O24" s="46">
        <v>0.1</v>
      </c>
    </row>
    <row r="25" spans="1:21" s="61" customFormat="1" ht="30.6" customHeight="1" x14ac:dyDescent="0.3">
      <c r="A25" s="209">
        <v>902</v>
      </c>
      <c r="B25" s="386" t="s">
        <v>674</v>
      </c>
      <c r="C25" s="386"/>
      <c r="D25" s="386"/>
      <c r="E25" s="386"/>
      <c r="F25" s="386"/>
      <c r="G25" s="386"/>
      <c r="H25" s="387"/>
      <c r="I25" s="58"/>
      <c r="J25" s="59">
        <f t="shared" ref="J25:O25" si="4">J27+J239+J245+J257+J330+J336</f>
        <v>742490.77</v>
      </c>
      <c r="K25" s="59">
        <f t="shared" si="4"/>
        <v>739510.33000000007</v>
      </c>
      <c r="L25" s="59">
        <f t="shared" si="4"/>
        <v>583819.1</v>
      </c>
      <c r="M25" s="59">
        <f t="shared" si="4"/>
        <v>596821.98</v>
      </c>
      <c r="N25" s="59">
        <f t="shared" si="4"/>
        <v>556779.69999999995</v>
      </c>
      <c r="O25" s="59">
        <f t="shared" si="4"/>
        <v>579259.80000000005</v>
      </c>
      <c r="P25" s="60"/>
      <c r="Q25" s="60"/>
    </row>
    <row r="26" spans="1:21" s="62" customFormat="1" ht="45" customHeight="1" x14ac:dyDescent="0.3">
      <c r="A26" s="350" t="s">
        <v>60</v>
      </c>
      <c r="B26" s="351"/>
      <c r="C26" s="351"/>
      <c r="D26" s="351"/>
      <c r="E26" s="351"/>
      <c r="F26" s="351"/>
      <c r="G26" s="351"/>
      <c r="H26" s="351"/>
      <c r="I26" s="351"/>
      <c r="J26" s="351"/>
      <c r="K26" s="351"/>
      <c r="L26" s="351"/>
      <c r="M26" s="351"/>
      <c r="N26" s="351"/>
      <c r="O26" s="352"/>
      <c r="R26" s="63"/>
      <c r="S26" s="63"/>
      <c r="T26" s="63"/>
    </row>
    <row r="27" spans="1:21" s="66" customFormat="1" ht="45" customHeight="1" x14ac:dyDescent="0.25">
      <c r="A27" s="64">
        <v>902</v>
      </c>
      <c r="B27" s="353"/>
      <c r="C27" s="354"/>
      <c r="D27" s="354"/>
      <c r="E27" s="354"/>
      <c r="F27" s="354"/>
      <c r="G27" s="354"/>
      <c r="H27" s="354"/>
      <c r="I27" s="355"/>
      <c r="J27" s="65">
        <f t="shared" ref="J27:O27" si="5">J28+J70+J92+J97+J100+J103+J108+J114+J116+J119+J171+J174+J175+J177+J181+J184+J189+J190+J217+J235</f>
        <v>360020.37</v>
      </c>
      <c r="K27" s="65">
        <f t="shared" si="5"/>
        <v>357428.15000000008</v>
      </c>
      <c r="L27" s="65">
        <f t="shared" si="5"/>
        <v>359695.95999999996</v>
      </c>
      <c r="M27" s="65">
        <f t="shared" si="5"/>
        <v>422268.28</v>
      </c>
      <c r="N27" s="65">
        <f t="shared" si="5"/>
        <v>424215.29999999993</v>
      </c>
      <c r="O27" s="65">
        <f t="shared" si="5"/>
        <v>441241.89999999997</v>
      </c>
      <c r="P27" s="61"/>
      <c r="Q27" s="60"/>
      <c r="R27" s="61"/>
      <c r="S27" s="61"/>
      <c r="T27" s="61"/>
    </row>
    <row r="28" spans="1:21" s="68" customFormat="1" ht="45" customHeight="1" x14ac:dyDescent="0.25">
      <c r="A28" s="67">
        <v>902</v>
      </c>
      <c r="B28" s="130" t="s">
        <v>61</v>
      </c>
      <c r="C28" s="210"/>
      <c r="D28" s="121"/>
      <c r="E28" s="119"/>
      <c r="F28" s="18"/>
      <c r="G28" s="18"/>
      <c r="H28" s="18"/>
      <c r="I28" s="18"/>
      <c r="J28" s="40">
        <f>J29+J32+J45+J50+J55+J60+J65</f>
        <v>154586.33000000002</v>
      </c>
      <c r="K28" s="40">
        <f t="shared" ref="K28:O28" si="6">K29+K32+K45+K50+K55+K60+K65</f>
        <v>153378.01000000004</v>
      </c>
      <c r="L28" s="40">
        <f t="shared" si="6"/>
        <v>154903.65</v>
      </c>
      <c r="M28" s="40">
        <f t="shared" si="6"/>
        <v>145718.40000000002</v>
      </c>
      <c r="N28" s="40">
        <f t="shared" si="6"/>
        <v>153065.80000000002</v>
      </c>
      <c r="O28" s="40">
        <f t="shared" si="6"/>
        <v>160405.9</v>
      </c>
      <c r="P28" s="61"/>
      <c r="Q28" s="61"/>
      <c r="R28" s="61"/>
      <c r="S28" s="61"/>
      <c r="T28" s="61"/>
    </row>
    <row r="29" spans="1:21" s="74" customFormat="1" ht="45" customHeight="1" x14ac:dyDescent="0.25">
      <c r="A29" s="335">
        <v>902</v>
      </c>
      <c r="B29" s="356" t="s">
        <v>61</v>
      </c>
      <c r="C29" s="20" t="s">
        <v>17</v>
      </c>
      <c r="D29" s="69" t="s">
        <v>62</v>
      </c>
      <c r="E29" s="70" t="s">
        <v>63</v>
      </c>
      <c r="F29" s="71" t="s">
        <v>20</v>
      </c>
      <c r="G29" s="69" t="s">
        <v>64</v>
      </c>
      <c r="H29" s="69"/>
      <c r="I29" s="69"/>
      <c r="J29" s="72">
        <f>J30+J31</f>
        <v>1790.1</v>
      </c>
      <c r="K29" s="72">
        <f t="shared" ref="K29:O29" si="7">K30+K31</f>
        <v>1790.1</v>
      </c>
      <c r="L29" s="72">
        <f t="shared" si="7"/>
        <v>1910.3000000000002</v>
      </c>
      <c r="M29" s="72">
        <f t="shared" si="7"/>
        <v>2375.8000000000002</v>
      </c>
      <c r="N29" s="72">
        <f t="shared" si="7"/>
        <v>2446.4</v>
      </c>
      <c r="O29" s="72">
        <f t="shared" si="7"/>
        <v>2446.4</v>
      </c>
      <c r="P29" s="73"/>
      <c r="Q29" s="73"/>
      <c r="R29" s="73"/>
      <c r="S29" s="73"/>
    </row>
    <row r="30" spans="1:21" s="61" customFormat="1" ht="45" customHeight="1" x14ac:dyDescent="0.25">
      <c r="A30" s="335"/>
      <c r="B30" s="357"/>
      <c r="C30" s="47" t="s">
        <v>65</v>
      </c>
      <c r="D30" s="410" t="s">
        <v>66</v>
      </c>
      <c r="E30" s="75" t="s">
        <v>67</v>
      </c>
      <c r="F30" s="412" t="s">
        <v>20</v>
      </c>
      <c r="G30" s="412" t="s">
        <v>64</v>
      </c>
      <c r="H30" s="410" t="s">
        <v>22</v>
      </c>
      <c r="I30" s="76" t="s">
        <v>27</v>
      </c>
      <c r="J30" s="77">
        <v>1423.8</v>
      </c>
      <c r="K30" s="77">
        <v>1423.8</v>
      </c>
      <c r="L30" s="77">
        <v>1472.4</v>
      </c>
      <c r="M30" s="78">
        <v>1787.8</v>
      </c>
      <c r="N30" s="78">
        <v>1834.9</v>
      </c>
      <c r="O30" s="78">
        <v>1834.9</v>
      </c>
    </row>
    <row r="31" spans="1:21" s="61" customFormat="1" ht="45" customHeight="1" x14ac:dyDescent="0.25">
      <c r="A31" s="335"/>
      <c r="B31" s="357"/>
      <c r="C31" s="29" t="s">
        <v>68</v>
      </c>
      <c r="D31" s="411"/>
      <c r="E31" s="33" t="s">
        <v>69</v>
      </c>
      <c r="F31" s="413"/>
      <c r="G31" s="413"/>
      <c r="H31" s="411"/>
      <c r="I31" s="76" t="s">
        <v>28</v>
      </c>
      <c r="J31" s="77">
        <v>366.3</v>
      </c>
      <c r="K31" s="77">
        <v>366.3</v>
      </c>
      <c r="L31" s="77">
        <v>437.9</v>
      </c>
      <c r="M31" s="78">
        <v>588</v>
      </c>
      <c r="N31" s="78">
        <v>611.5</v>
      </c>
      <c r="O31" s="78">
        <v>611.5</v>
      </c>
      <c r="P31" s="60"/>
      <c r="S31" s="60"/>
    </row>
    <row r="32" spans="1:21" s="61" customFormat="1" ht="45" customHeight="1" x14ac:dyDescent="0.25">
      <c r="A32" s="335"/>
      <c r="B32" s="171" t="s">
        <v>61</v>
      </c>
      <c r="C32" s="16" t="s">
        <v>70</v>
      </c>
      <c r="D32" s="17" t="s">
        <v>71</v>
      </c>
      <c r="E32" s="17" t="s">
        <v>72</v>
      </c>
      <c r="F32" s="69" t="s">
        <v>20</v>
      </c>
      <c r="G32" s="69" t="s">
        <v>73</v>
      </c>
      <c r="H32" s="69" t="s">
        <v>74</v>
      </c>
      <c r="I32" s="69"/>
      <c r="J32" s="80">
        <f>J33+J34+J35+J37+J38+J39+J40+J41+J42+J43+J44</f>
        <v>128666.20000000001</v>
      </c>
      <c r="K32" s="80">
        <f t="shared" ref="K32:O32" si="8">K33+K34+K35+K37+K38+K39+K40+K41+K42+K43+K44</f>
        <v>127457.88000000002</v>
      </c>
      <c r="L32" s="80">
        <f t="shared" si="8"/>
        <v>127029.79999999999</v>
      </c>
      <c r="M32" s="72">
        <f t="shared" si="8"/>
        <v>115494.39999999999</v>
      </c>
      <c r="N32" s="72">
        <f t="shared" si="8"/>
        <v>121514.7</v>
      </c>
      <c r="O32" s="72">
        <f t="shared" si="8"/>
        <v>128844.7</v>
      </c>
      <c r="P32" s="60"/>
      <c r="Q32" s="60"/>
      <c r="R32" s="60"/>
      <c r="S32" s="60"/>
      <c r="T32" s="60"/>
      <c r="U32" s="60"/>
    </row>
    <row r="33" spans="1:21" s="61" customFormat="1" ht="45" customHeight="1" x14ac:dyDescent="0.25">
      <c r="A33" s="335"/>
      <c r="B33" s="211"/>
      <c r="C33" s="27" t="s">
        <v>75</v>
      </c>
      <c r="D33" s="81"/>
      <c r="E33" s="75" t="s">
        <v>76</v>
      </c>
      <c r="F33" s="76"/>
      <c r="G33" s="76"/>
      <c r="H33" s="76"/>
      <c r="I33" s="76" t="s">
        <v>27</v>
      </c>
      <c r="J33" s="77">
        <v>89371.7</v>
      </c>
      <c r="K33" s="77">
        <v>89371</v>
      </c>
      <c r="L33" s="77">
        <v>90505.85</v>
      </c>
      <c r="M33" s="78">
        <v>88800</v>
      </c>
      <c r="N33" s="78">
        <v>93100</v>
      </c>
      <c r="O33" s="78">
        <v>92703</v>
      </c>
      <c r="P33" s="60"/>
    </row>
    <row r="34" spans="1:21" s="61" customFormat="1" ht="45" customHeight="1" x14ac:dyDescent="0.25">
      <c r="A34" s="335"/>
      <c r="B34" s="211"/>
      <c r="C34" s="33" t="s">
        <v>77</v>
      </c>
      <c r="D34" s="82"/>
      <c r="E34" s="33" t="s">
        <v>69</v>
      </c>
      <c r="F34" s="76"/>
      <c r="G34" s="76"/>
      <c r="H34" s="76"/>
      <c r="I34" s="76" t="s">
        <v>28</v>
      </c>
      <c r="J34" s="77">
        <v>24219</v>
      </c>
      <c r="K34" s="77">
        <v>23863.54</v>
      </c>
      <c r="L34" s="77">
        <v>29754.15</v>
      </c>
      <c r="M34" s="78">
        <v>20028</v>
      </c>
      <c r="N34" s="78">
        <v>20484.7</v>
      </c>
      <c r="O34" s="78">
        <v>27900</v>
      </c>
    </row>
    <row r="35" spans="1:21" s="61" customFormat="1" ht="45" customHeight="1" x14ac:dyDescent="0.25">
      <c r="A35" s="335"/>
      <c r="B35" s="211"/>
      <c r="C35" s="29" t="s">
        <v>78</v>
      </c>
      <c r="D35" s="31" t="s">
        <v>79</v>
      </c>
      <c r="E35" s="33" t="s">
        <v>80</v>
      </c>
      <c r="F35" s="76"/>
      <c r="G35" s="76"/>
      <c r="H35" s="76"/>
      <c r="I35" s="76" t="s">
        <v>30</v>
      </c>
      <c r="J35" s="77">
        <v>478.3</v>
      </c>
      <c r="K35" s="77">
        <v>478.3</v>
      </c>
      <c r="L35" s="77">
        <v>273.89999999999998</v>
      </c>
      <c r="M35" s="78">
        <v>300</v>
      </c>
      <c r="N35" s="78">
        <v>300</v>
      </c>
      <c r="O35" s="78">
        <v>300</v>
      </c>
    </row>
    <row r="36" spans="1:21" s="61" customFormat="1" ht="45" customHeight="1" x14ac:dyDescent="0.25">
      <c r="A36" s="335"/>
      <c r="B36" s="211"/>
      <c r="C36" s="29" t="s">
        <v>81</v>
      </c>
      <c r="D36" s="83"/>
      <c r="E36" s="33" t="s">
        <v>82</v>
      </c>
      <c r="F36" s="76"/>
      <c r="G36" s="76"/>
      <c r="H36" s="76"/>
      <c r="I36" s="76" t="s">
        <v>43</v>
      </c>
      <c r="J36" s="78"/>
      <c r="K36" s="78"/>
      <c r="L36" s="78"/>
      <c r="M36" s="78"/>
      <c r="N36" s="78"/>
      <c r="O36" s="78"/>
    </row>
    <row r="37" spans="1:21" s="61" customFormat="1" ht="45" customHeight="1" x14ac:dyDescent="0.25">
      <c r="A37" s="335"/>
      <c r="B37" s="211"/>
      <c r="C37" s="29" t="s">
        <v>83</v>
      </c>
      <c r="D37" s="31" t="s">
        <v>84</v>
      </c>
      <c r="E37" s="33" t="s">
        <v>85</v>
      </c>
      <c r="F37" s="76"/>
      <c r="G37" s="76"/>
      <c r="H37" s="76"/>
      <c r="I37" s="76" t="s">
        <v>43</v>
      </c>
      <c r="J37" s="77">
        <v>699.7</v>
      </c>
      <c r="K37" s="77">
        <v>699.7</v>
      </c>
      <c r="L37" s="77">
        <v>0</v>
      </c>
      <c r="M37" s="78">
        <v>0</v>
      </c>
      <c r="N37" s="78">
        <v>0</v>
      </c>
      <c r="O37" s="78">
        <v>0</v>
      </c>
    </row>
    <row r="38" spans="1:21" s="61" customFormat="1" ht="45" customHeight="1" x14ac:dyDescent="0.25">
      <c r="A38" s="335"/>
      <c r="B38" s="211"/>
      <c r="C38" s="27" t="s">
        <v>86</v>
      </c>
      <c r="D38" s="84" t="s">
        <v>87</v>
      </c>
      <c r="E38" s="33" t="s">
        <v>88</v>
      </c>
      <c r="F38" s="76"/>
      <c r="G38" s="76"/>
      <c r="H38" s="76"/>
      <c r="I38" s="76" t="s">
        <v>33</v>
      </c>
      <c r="J38" s="77">
        <v>9789.1</v>
      </c>
      <c r="K38" s="77">
        <v>9366.7999999999993</v>
      </c>
      <c r="L38" s="77">
        <v>5251.7</v>
      </c>
      <c r="M38" s="78">
        <v>6041.5</v>
      </c>
      <c r="N38" s="78">
        <v>6329.7</v>
      </c>
      <c r="O38" s="78">
        <v>6641.4</v>
      </c>
    </row>
    <row r="39" spans="1:21" s="61" customFormat="1" ht="45" customHeight="1" x14ac:dyDescent="0.25">
      <c r="A39" s="335"/>
      <c r="B39" s="211"/>
      <c r="C39" s="85"/>
      <c r="D39" s="86"/>
      <c r="E39" s="33"/>
      <c r="F39" s="76"/>
      <c r="G39" s="76"/>
      <c r="H39" s="76"/>
      <c r="I39" s="76" t="s">
        <v>89</v>
      </c>
      <c r="J39" s="77">
        <v>0</v>
      </c>
      <c r="K39" s="77">
        <v>0</v>
      </c>
      <c r="L39" s="77">
        <v>0</v>
      </c>
      <c r="M39" s="78">
        <v>0</v>
      </c>
      <c r="N39" s="78">
        <v>0</v>
      </c>
      <c r="O39" s="78">
        <f t="shared" ref="O39" si="9">N39</f>
        <v>0</v>
      </c>
    </row>
    <row r="40" spans="1:21" s="61" customFormat="1" ht="45" customHeight="1" x14ac:dyDescent="0.25">
      <c r="A40" s="335"/>
      <c r="B40" s="211"/>
      <c r="C40" s="29" t="s">
        <v>90</v>
      </c>
      <c r="D40" s="87" t="s">
        <v>91</v>
      </c>
      <c r="E40" s="33" t="s">
        <v>92</v>
      </c>
      <c r="F40" s="76"/>
      <c r="G40" s="76"/>
      <c r="H40" s="76"/>
      <c r="I40" s="76" t="s">
        <v>93</v>
      </c>
      <c r="J40" s="77">
        <v>3171.6</v>
      </c>
      <c r="K40" s="77">
        <v>2765.1</v>
      </c>
      <c r="L40" s="77">
        <v>605.20000000000005</v>
      </c>
      <c r="M40" s="78">
        <v>0</v>
      </c>
      <c r="N40" s="78">
        <v>0</v>
      </c>
      <c r="O40" s="78">
        <v>0</v>
      </c>
    </row>
    <row r="41" spans="1:21" s="61" customFormat="1" ht="45" customHeight="1" x14ac:dyDescent="0.25">
      <c r="A41" s="335"/>
      <c r="B41" s="211"/>
      <c r="C41" s="88" t="s">
        <v>94</v>
      </c>
      <c r="D41" s="89"/>
      <c r="E41" s="33" t="s">
        <v>95</v>
      </c>
      <c r="F41" s="76"/>
      <c r="G41" s="76"/>
      <c r="H41" s="76"/>
      <c r="I41" s="76" t="s">
        <v>96</v>
      </c>
      <c r="J41" s="90">
        <v>23.5</v>
      </c>
      <c r="K41" s="90">
        <v>0</v>
      </c>
      <c r="L41" s="90">
        <v>173.5</v>
      </c>
      <c r="M41" s="91">
        <v>0</v>
      </c>
      <c r="N41" s="91">
        <v>0</v>
      </c>
      <c r="O41" s="78">
        <v>0</v>
      </c>
    </row>
    <row r="42" spans="1:21" s="61" customFormat="1" ht="45" customHeight="1" x14ac:dyDescent="0.25">
      <c r="A42" s="335"/>
      <c r="B42" s="211"/>
      <c r="C42" s="29" t="s">
        <v>97</v>
      </c>
      <c r="D42" s="29" t="s">
        <v>34</v>
      </c>
      <c r="E42" s="30" t="s">
        <v>47</v>
      </c>
      <c r="F42" s="76"/>
      <c r="G42" s="76"/>
      <c r="H42" s="76"/>
      <c r="I42" s="76" t="s">
        <v>35</v>
      </c>
      <c r="J42" s="90">
        <v>539.15</v>
      </c>
      <c r="K42" s="90">
        <v>539.20000000000005</v>
      </c>
      <c r="L42" s="90">
        <v>102.2</v>
      </c>
      <c r="M42" s="91">
        <v>0</v>
      </c>
      <c r="N42" s="91">
        <v>800.3</v>
      </c>
      <c r="O42" s="78">
        <v>800.3</v>
      </c>
    </row>
    <row r="43" spans="1:21" s="61" customFormat="1" ht="45" customHeight="1" x14ac:dyDescent="0.25">
      <c r="A43" s="335"/>
      <c r="B43" s="211"/>
      <c r="C43" s="92" t="s">
        <v>98</v>
      </c>
      <c r="D43" s="29" t="s">
        <v>36</v>
      </c>
      <c r="E43" s="30" t="s">
        <v>47</v>
      </c>
      <c r="F43" s="76"/>
      <c r="G43" s="76"/>
      <c r="H43" s="76"/>
      <c r="I43" s="76" t="s">
        <v>37</v>
      </c>
      <c r="J43" s="90">
        <v>59.8</v>
      </c>
      <c r="K43" s="90">
        <v>59.8</v>
      </c>
      <c r="L43" s="90">
        <v>59.8</v>
      </c>
      <c r="M43" s="91">
        <v>22.9</v>
      </c>
      <c r="N43" s="91">
        <v>100</v>
      </c>
      <c r="O43" s="78">
        <v>100</v>
      </c>
    </row>
    <row r="44" spans="1:21" s="61" customFormat="1" ht="45" customHeight="1" x14ac:dyDescent="0.25">
      <c r="A44" s="335"/>
      <c r="B44" s="211"/>
      <c r="C44" s="33" t="s">
        <v>99</v>
      </c>
      <c r="D44" s="29" t="s">
        <v>39</v>
      </c>
      <c r="E44" s="33" t="s">
        <v>100</v>
      </c>
      <c r="F44" s="76"/>
      <c r="G44" s="76"/>
      <c r="H44" s="76"/>
      <c r="I44" s="76" t="s">
        <v>41</v>
      </c>
      <c r="J44" s="90">
        <v>314.35000000000002</v>
      </c>
      <c r="K44" s="90">
        <v>314.44</v>
      </c>
      <c r="L44" s="90">
        <v>303.5</v>
      </c>
      <c r="M44" s="91">
        <v>302</v>
      </c>
      <c r="N44" s="91">
        <v>400</v>
      </c>
      <c r="O44" s="78">
        <v>400</v>
      </c>
      <c r="P44" s="60"/>
    </row>
    <row r="45" spans="1:21" s="61" customFormat="1" ht="45" customHeight="1" x14ac:dyDescent="0.25">
      <c r="A45" s="335"/>
      <c r="B45" s="211"/>
      <c r="C45" s="29" t="s">
        <v>101</v>
      </c>
      <c r="D45" s="29"/>
      <c r="E45" s="33" t="s">
        <v>102</v>
      </c>
      <c r="F45" s="71" t="s">
        <v>73</v>
      </c>
      <c r="G45" s="71" t="s">
        <v>103</v>
      </c>
      <c r="H45" s="71" t="s">
        <v>74</v>
      </c>
      <c r="I45" s="71"/>
      <c r="J45" s="80">
        <f>J46+J47+J48+J49</f>
        <v>4036.5</v>
      </c>
      <c r="K45" s="80">
        <f t="shared" ref="K45:O45" si="10">K46+K47+K48+K49</f>
        <v>4036.5</v>
      </c>
      <c r="L45" s="72">
        <f t="shared" si="10"/>
        <v>5154.3</v>
      </c>
      <c r="M45" s="72">
        <f t="shared" si="10"/>
        <v>5210.8</v>
      </c>
      <c r="N45" s="72">
        <f t="shared" si="10"/>
        <v>5787.8</v>
      </c>
      <c r="O45" s="72">
        <f t="shared" si="10"/>
        <v>5797</v>
      </c>
      <c r="Q45" s="60"/>
      <c r="R45" s="60"/>
      <c r="S45" s="60"/>
      <c r="T45" s="60"/>
      <c r="U45" s="60"/>
    </row>
    <row r="46" spans="1:21" s="61" customFormat="1" ht="45" customHeight="1" x14ac:dyDescent="0.25">
      <c r="A46" s="335"/>
      <c r="B46" s="211"/>
      <c r="C46" s="29" t="s">
        <v>104</v>
      </c>
      <c r="D46" s="29" t="s">
        <v>105</v>
      </c>
      <c r="E46" s="33" t="s">
        <v>106</v>
      </c>
      <c r="F46" s="76"/>
      <c r="G46" s="76"/>
      <c r="H46" s="76"/>
      <c r="I46" s="76" t="s">
        <v>27</v>
      </c>
      <c r="J46" s="77">
        <v>3174.5</v>
      </c>
      <c r="K46" s="77">
        <v>3174.5</v>
      </c>
      <c r="L46" s="78">
        <v>3860.4</v>
      </c>
      <c r="M46" s="78">
        <v>3990</v>
      </c>
      <c r="N46" s="78">
        <v>4285.6000000000004</v>
      </c>
      <c r="O46" s="78">
        <v>4285.6000000000004</v>
      </c>
      <c r="Q46" s="60"/>
    </row>
    <row r="47" spans="1:21" s="61" customFormat="1" ht="45" customHeight="1" x14ac:dyDescent="0.25">
      <c r="A47" s="335"/>
      <c r="B47" s="211"/>
      <c r="C47" s="33" t="s">
        <v>107</v>
      </c>
      <c r="D47" s="31" t="s">
        <v>79</v>
      </c>
      <c r="E47" s="33" t="s">
        <v>108</v>
      </c>
      <c r="F47" s="76"/>
      <c r="G47" s="76"/>
      <c r="H47" s="76"/>
      <c r="I47" s="76" t="s">
        <v>30</v>
      </c>
      <c r="J47" s="90">
        <v>0</v>
      </c>
      <c r="K47" s="90">
        <v>0</v>
      </c>
      <c r="L47" s="91">
        <v>0</v>
      </c>
      <c r="M47" s="91">
        <v>0</v>
      </c>
      <c r="N47" s="91">
        <v>0</v>
      </c>
      <c r="O47" s="91">
        <v>0</v>
      </c>
    </row>
    <row r="48" spans="1:21" s="61" customFormat="1" ht="45" customHeight="1" x14ac:dyDescent="0.25">
      <c r="A48" s="335"/>
      <c r="B48" s="211"/>
      <c r="C48" s="33" t="s">
        <v>109</v>
      </c>
      <c r="D48" s="29"/>
      <c r="E48" s="33" t="s">
        <v>110</v>
      </c>
      <c r="F48" s="76"/>
      <c r="G48" s="76"/>
      <c r="H48" s="76"/>
      <c r="I48" s="76" t="s">
        <v>28</v>
      </c>
      <c r="J48" s="90">
        <v>830.3</v>
      </c>
      <c r="K48" s="90">
        <v>830.3</v>
      </c>
      <c r="L48" s="91">
        <v>1255.5999999999999</v>
      </c>
      <c r="M48" s="78">
        <v>1021.5</v>
      </c>
      <c r="N48" s="78">
        <v>1294.2</v>
      </c>
      <c r="O48" s="78">
        <v>1294.2</v>
      </c>
    </row>
    <row r="49" spans="1:23" s="61" customFormat="1" ht="45" customHeight="1" x14ac:dyDescent="0.25">
      <c r="A49" s="335"/>
      <c r="B49" s="211"/>
      <c r="C49" s="33" t="s">
        <v>86</v>
      </c>
      <c r="D49" s="29" t="s">
        <v>111</v>
      </c>
      <c r="E49" s="33" t="s">
        <v>92</v>
      </c>
      <c r="F49" s="76"/>
      <c r="G49" s="76"/>
      <c r="H49" s="76"/>
      <c r="I49" s="76" t="s">
        <v>33</v>
      </c>
      <c r="J49" s="90">
        <v>31.7</v>
      </c>
      <c r="K49" s="90">
        <v>31.7</v>
      </c>
      <c r="L49" s="91">
        <v>38.299999999999997</v>
      </c>
      <c r="M49" s="78">
        <v>199.3</v>
      </c>
      <c r="N49" s="78">
        <v>208</v>
      </c>
      <c r="O49" s="78">
        <v>217.2</v>
      </c>
    </row>
    <row r="50" spans="1:23" s="61" customFormat="1" ht="45" customHeight="1" x14ac:dyDescent="0.25">
      <c r="A50" s="335"/>
      <c r="B50" s="357" t="s">
        <v>61</v>
      </c>
      <c r="C50" s="93" t="s">
        <v>112</v>
      </c>
      <c r="D50" s="94"/>
      <c r="E50" s="94" t="s">
        <v>113</v>
      </c>
      <c r="F50" s="71" t="s">
        <v>114</v>
      </c>
      <c r="G50" s="71" t="s">
        <v>115</v>
      </c>
      <c r="H50" s="71" t="s">
        <v>74</v>
      </c>
      <c r="I50" s="71"/>
      <c r="J50" s="80">
        <f>J51+J52+J53+J54</f>
        <v>2026.1</v>
      </c>
      <c r="K50" s="80">
        <f t="shared" ref="K50:O50" si="11">K51+K52+K53+K54</f>
        <v>2026.1</v>
      </c>
      <c r="L50" s="72">
        <f t="shared" si="11"/>
        <v>2387.8999999999996</v>
      </c>
      <c r="M50" s="72">
        <f t="shared" si="11"/>
        <v>2344.6999999999998</v>
      </c>
      <c r="N50" s="72">
        <f t="shared" si="11"/>
        <v>2420.1999999999998</v>
      </c>
      <c r="O50" s="72">
        <f t="shared" si="11"/>
        <v>2423.3000000000002</v>
      </c>
      <c r="Q50" s="60"/>
      <c r="R50" s="60"/>
      <c r="S50" s="60"/>
      <c r="T50" s="60"/>
      <c r="U50" s="60"/>
    </row>
    <row r="51" spans="1:23" s="61" customFormat="1" ht="45" customHeight="1" x14ac:dyDescent="0.25">
      <c r="A51" s="335"/>
      <c r="B51" s="357"/>
      <c r="C51" s="92" t="s">
        <v>116</v>
      </c>
      <c r="D51" s="76" t="s">
        <v>105</v>
      </c>
      <c r="E51" s="33" t="s">
        <v>117</v>
      </c>
      <c r="F51" s="76"/>
      <c r="G51" s="76"/>
      <c r="H51" s="76"/>
      <c r="I51" s="76" t="s">
        <v>27</v>
      </c>
      <c r="J51" s="77">
        <v>1572.1</v>
      </c>
      <c r="K51" s="77">
        <v>1572.1</v>
      </c>
      <c r="L51" s="78">
        <f>1531.6+9.6</f>
        <v>1541.1999999999998</v>
      </c>
      <c r="M51" s="78">
        <f>1742.9+3</f>
        <v>1745.9</v>
      </c>
      <c r="N51" s="78">
        <f>1794.8+3</f>
        <v>1797.8</v>
      </c>
      <c r="O51" s="78">
        <f>1794.8+3</f>
        <v>1797.8</v>
      </c>
      <c r="P51" s="95"/>
      <c r="V51" s="96"/>
      <c r="W51" s="96"/>
    </row>
    <row r="52" spans="1:23" s="61" customFormat="1" ht="45" customHeight="1" x14ac:dyDescent="0.25">
      <c r="A52" s="335"/>
      <c r="B52" s="357"/>
      <c r="C52" s="33" t="s">
        <v>118</v>
      </c>
      <c r="D52" s="33"/>
      <c r="E52" s="33" t="s">
        <v>119</v>
      </c>
      <c r="F52" s="76"/>
      <c r="G52" s="76"/>
      <c r="H52" s="76"/>
      <c r="I52" s="76" t="s">
        <v>28</v>
      </c>
      <c r="J52" s="90">
        <v>420.8</v>
      </c>
      <c r="K52" s="90">
        <v>420.8</v>
      </c>
      <c r="L52" s="91">
        <f>509.5</f>
        <v>509.5</v>
      </c>
      <c r="M52" s="91">
        <v>510</v>
      </c>
      <c r="N52" s="91">
        <v>542</v>
      </c>
      <c r="O52" s="91">
        <v>542</v>
      </c>
      <c r="P52" s="97"/>
    </row>
    <row r="53" spans="1:23" s="61" customFormat="1" ht="45" customHeight="1" x14ac:dyDescent="0.25">
      <c r="A53" s="335"/>
      <c r="B53" s="357"/>
      <c r="C53" s="29" t="s">
        <v>120</v>
      </c>
      <c r="D53" s="31" t="s">
        <v>79</v>
      </c>
      <c r="E53" s="33" t="s">
        <v>108</v>
      </c>
      <c r="F53" s="76"/>
      <c r="G53" s="76"/>
      <c r="H53" s="76"/>
      <c r="I53" s="76" t="s">
        <v>30</v>
      </c>
      <c r="J53" s="90">
        <v>2.9</v>
      </c>
      <c r="K53" s="90">
        <v>2.9</v>
      </c>
      <c r="L53" s="91">
        <v>0</v>
      </c>
      <c r="M53" s="91">
        <v>6.2</v>
      </c>
      <c r="N53" s="91">
        <f>1.2+5</f>
        <v>6.2</v>
      </c>
      <c r="O53" s="91">
        <v>6.2</v>
      </c>
      <c r="P53" s="95"/>
    </row>
    <row r="54" spans="1:23" s="61" customFormat="1" ht="45" customHeight="1" x14ac:dyDescent="0.25">
      <c r="A54" s="335"/>
      <c r="B54" s="357"/>
      <c r="C54" s="33" t="s">
        <v>86</v>
      </c>
      <c r="D54" s="29" t="s">
        <v>121</v>
      </c>
      <c r="E54" s="33" t="s">
        <v>122</v>
      </c>
      <c r="F54" s="76"/>
      <c r="G54" s="76"/>
      <c r="H54" s="76"/>
      <c r="I54" s="76" t="s">
        <v>33</v>
      </c>
      <c r="J54" s="90">
        <f>4.3+26</f>
        <v>30.3</v>
      </c>
      <c r="K54" s="90">
        <v>30.3</v>
      </c>
      <c r="L54" s="91">
        <f>300+11.7+25.5</f>
        <v>337.2</v>
      </c>
      <c r="M54" s="91">
        <f>29+39+14.6</f>
        <v>82.6</v>
      </c>
      <c r="N54" s="91">
        <f>15.2+29+30</f>
        <v>74.2</v>
      </c>
      <c r="O54" s="91">
        <f>31+30+16.3</f>
        <v>77.3</v>
      </c>
      <c r="P54" s="95"/>
    </row>
    <row r="55" spans="1:23" s="61" customFormat="1" ht="45" customHeight="1" x14ac:dyDescent="0.25">
      <c r="A55" s="335"/>
      <c r="B55" s="406" t="s">
        <v>61</v>
      </c>
      <c r="C55" s="98" t="s">
        <v>123</v>
      </c>
      <c r="D55" s="94" t="s">
        <v>124</v>
      </c>
      <c r="E55" s="94" t="s">
        <v>125</v>
      </c>
      <c r="F55" s="71" t="s">
        <v>114</v>
      </c>
      <c r="G55" s="71" t="s">
        <v>115</v>
      </c>
      <c r="H55" s="71" t="s">
        <v>74</v>
      </c>
      <c r="I55" s="71"/>
      <c r="J55" s="80">
        <f>J56+J57+J58+J59</f>
        <v>9727.25</v>
      </c>
      <c r="K55" s="80">
        <f t="shared" ref="K55:O55" si="12">K56+K57+K58+K59</f>
        <v>9727.25</v>
      </c>
      <c r="L55" s="72">
        <f t="shared" si="12"/>
        <v>9900.65</v>
      </c>
      <c r="M55" s="72">
        <f t="shared" si="12"/>
        <v>10794.5</v>
      </c>
      <c r="N55" s="72">
        <f t="shared" si="12"/>
        <v>11112.9</v>
      </c>
      <c r="O55" s="72">
        <f t="shared" si="12"/>
        <v>11100.3</v>
      </c>
    </row>
    <row r="56" spans="1:23" s="61" customFormat="1" ht="45" customHeight="1" x14ac:dyDescent="0.25">
      <c r="A56" s="335"/>
      <c r="B56" s="406"/>
      <c r="C56" s="92" t="s">
        <v>116</v>
      </c>
      <c r="D56" s="76" t="s">
        <v>105</v>
      </c>
      <c r="E56" s="99" t="s">
        <v>117</v>
      </c>
      <c r="F56" s="76"/>
      <c r="G56" s="76"/>
      <c r="H56" s="76"/>
      <c r="I56" s="76" t="s">
        <v>27</v>
      </c>
      <c r="J56" s="77">
        <f>7557.6+14.1</f>
        <v>7571.7000000000007</v>
      </c>
      <c r="K56" s="77">
        <f>7557.6+14.1</f>
        <v>7571.7000000000007</v>
      </c>
      <c r="L56" s="78">
        <f>7339.3+37.8</f>
        <v>7377.1</v>
      </c>
      <c r="M56" s="78">
        <f>30+8159.6</f>
        <v>8189.6</v>
      </c>
      <c r="N56" s="78">
        <f>8385.4+30</f>
        <v>8415.4</v>
      </c>
      <c r="O56" s="78">
        <f>8366.3+30</f>
        <v>8396.2999999999993</v>
      </c>
    </row>
    <row r="57" spans="1:23" s="61" customFormat="1" ht="45" customHeight="1" x14ac:dyDescent="0.25">
      <c r="A57" s="335"/>
      <c r="B57" s="406"/>
      <c r="C57" s="29" t="s">
        <v>126</v>
      </c>
      <c r="D57" s="31" t="s">
        <v>79</v>
      </c>
      <c r="E57" s="33" t="s">
        <v>108</v>
      </c>
      <c r="F57" s="76"/>
      <c r="G57" s="76"/>
      <c r="H57" s="76"/>
      <c r="I57" s="76" t="s">
        <v>30</v>
      </c>
      <c r="J57" s="90">
        <f>4.3+4.9</f>
        <v>9.1999999999999993</v>
      </c>
      <c r="K57" s="90">
        <v>9.1999999999999993</v>
      </c>
      <c r="L57" s="91">
        <f>3+21.4</f>
        <v>24.4</v>
      </c>
      <c r="M57" s="91">
        <v>15</v>
      </c>
      <c r="N57" s="91">
        <f>3+12</f>
        <v>15</v>
      </c>
      <c r="O57" s="91">
        <v>15</v>
      </c>
      <c r="P57" s="96"/>
    </row>
    <row r="58" spans="1:23" s="61" customFormat="1" ht="45" customHeight="1" x14ac:dyDescent="0.25">
      <c r="A58" s="335"/>
      <c r="B58" s="406"/>
      <c r="C58" s="33" t="s">
        <v>127</v>
      </c>
      <c r="D58" s="33"/>
      <c r="E58" s="33" t="s">
        <v>119</v>
      </c>
      <c r="F58" s="76"/>
      <c r="G58" s="76"/>
      <c r="H58" s="76"/>
      <c r="I58" s="76" t="s">
        <v>28</v>
      </c>
      <c r="J58" s="77">
        <v>2070.6</v>
      </c>
      <c r="K58" s="77">
        <v>2070.6</v>
      </c>
      <c r="L58" s="78">
        <v>2399.35</v>
      </c>
      <c r="M58" s="78">
        <v>2464.9</v>
      </c>
      <c r="N58" s="78">
        <v>2540</v>
      </c>
      <c r="O58" s="78">
        <v>2540</v>
      </c>
      <c r="P58" s="100"/>
      <c r="R58" s="101"/>
    </row>
    <row r="59" spans="1:23" s="61" customFormat="1" ht="45" customHeight="1" x14ac:dyDescent="0.25">
      <c r="A59" s="335"/>
      <c r="B59" s="406"/>
      <c r="C59" s="33" t="s">
        <v>86</v>
      </c>
      <c r="D59" s="33" t="s">
        <v>128</v>
      </c>
      <c r="E59" s="33" t="s">
        <v>129</v>
      </c>
      <c r="F59" s="76"/>
      <c r="G59" s="76"/>
      <c r="H59" s="76"/>
      <c r="I59" s="76" t="s">
        <v>33</v>
      </c>
      <c r="J59" s="90">
        <v>75.75</v>
      </c>
      <c r="K59" s="90">
        <v>75.75</v>
      </c>
      <c r="L59" s="90">
        <f>41.7+58.1</f>
        <v>99.800000000000011</v>
      </c>
      <c r="M59" s="91">
        <f>7+50+28+40</f>
        <v>125</v>
      </c>
      <c r="N59" s="91">
        <f>40+40+55+7.5</f>
        <v>142.5</v>
      </c>
      <c r="O59" s="91">
        <f>8+57+42+42</f>
        <v>149</v>
      </c>
      <c r="P59" s="101"/>
      <c r="Q59" s="101"/>
      <c r="R59" s="101"/>
      <c r="S59" s="101"/>
      <c r="T59" s="101"/>
      <c r="U59" s="101"/>
      <c r="V59" s="101"/>
      <c r="W59" s="101"/>
    </row>
    <row r="60" spans="1:23" s="61" customFormat="1" ht="45" customHeight="1" x14ac:dyDescent="0.25">
      <c r="A60" s="335"/>
      <c r="B60" s="356" t="s">
        <v>61</v>
      </c>
      <c r="C60" s="102" t="s">
        <v>130</v>
      </c>
      <c r="D60" s="94"/>
      <c r="E60" s="94" t="s">
        <v>131</v>
      </c>
      <c r="F60" s="71" t="s">
        <v>132</v>
      </c>
      <c r="G60" s="71" t="s">
        <v>73</v>
      </c>
      <c r="H60" s="71" t="s">
        <v>74</v>
      </c>
      <c r="I60" s="71"/>
      <c r="J60" s="80">
        <f>J61+J62+J63+J64</f>
        <v>3554.38</v>
      </c>
      <c r="K60" s="80">
        <f t="shared" ref="K60:O60" si="13">K61+K62+K63+K64</f>
        <v>3554.38</v>
      </c>
      <c r="L60" s="80">
        <f t="shared" si="13"/>
        <v>3198.1</v>
      </c>
      <c r="M60" s="72">
        <f t="shared" si="13"/>
        <v>4219.7</v>
      </c>
      <c r="N60" s="72">
        <f t="shared" si="13"/>
        <v>4346.5999999999995</v>
      </c>
      <c r="O60" s="72">
        <f t="shared" si="13"/>
        <v>4351.2</v>
      </c>
      <c r="P60" s="101"/>
    </row>
    <row r="61" spans="1:23" s="61" customFormat="1" ht="45" customHeight="1" x14ac:dyDescent="0.25">
      <c r="A61" s="335"/>
      <c r="B61" s="357"/>
      <c r="C61" s="92" t="s">
        <v>116</v>
      </c>
      <c r="D61" s="31" t="s">
        <v>105</v>
      </c>
      <c r="E61" s="99" t="s">
        <v>117</v>
      </c>
      <c r="F61" s="76"/>
      <c r="G61" s="76"/>
      <c r="H61" s="76"/>
      <c r="I61" s="76" t="s">
        <v>27</v>
      </c>
      <c r="J61" s="103">
        <v>2736.84</v>
      </c>
      <c r="K61" s="103">
        <v>2736.84</v>
      </c>
      <c r="L61" s="104">
        <v>2375.9</v>
      </c>
      <c r="M61" s="104">
        <v>3158.9</v>
      </c>
      <c r="N61" s="104">
        <v>3256.6</v>
      </c>
      <c r="O61" s="104">
        <v>3257</v>
      </c>
    </row>
    <row r="62" spans="1:23" s="61" customFormat="1" ht="45" customHeight="1" x14ac:dyDescent="0.25">
      <c r="A62" s="335"/>
      <c r="B62" s="357"/>
      <c r="C62" s="29" t="s">
        <v>126</v>
      </c>
      <c r="D62" s="31" t="s">
        <v>79</v>
      </c>
      <c r="E62" s="33" t="s">
        <v>108</v>
      </c>
      <c r="F62" s="76"/>
      <c r="G62" s="76"/>
      <c r="H62" s="76"/>
      <c r="I62" s="76" t="s">
        <v>30</v>
      </c>
      <c r="J62" s="105">
        <v>32.14</v>
      </c>
      <c r="K62" s="105">
        <v>32.14</v>
      </c>
      <c r="L62" s="106">
        <v>0</v>
      </c>
      <c r="M62" s="106">
        <v>11.4</v>
      </c>
      <c r="N62" s="106">
        <v>11.4</v>
      </c>
      <c r="O62" s="106">
        <v>11.4</v>
      </c>
    </row>
    <row r="63" spans="1:23" s="61" customFormat="1" ht="45" customHeight="1" x14ac:dyDescent="0.25">
      <c r="A63" s="335"/>
      <c r="B63" s="357"/>
      <c r="C63" s="33" t="s">
        <v>127</v>
      </c>
      <c r="D63" s="33"/>
      <c r="E63" s="33" t="s">
        <v>119</v>
      </c>
      <c r="F63" s="76"/>
      <c r="G63" s="76"/>
      <c r="H63" s="76"/>
      <c r="I63" s="76" t="s">
        <v>28</v>
      </c>
      <c r="J63" s="105">
        <v>727.7</v>
      </c>
      <c r="K63" s="105">
        <v>727.7</v>
      </c>
      <c r="L63" s="106">
        <v>787.1</v>
      </c>
      <c r="M63" s="106">
        <v>958.7</v>
      </c>
      <c r="N63" s="106">
        <v>983.9</v>
      </c>
      <c r="O63" s="106">
        <v>983.9</v>
      </c>
    </row>
    <row r="64" spans="1:23" s="61" customFormat="1" ht="45" customHeight="1" x14ac:dyDescent="0.25">
      <c r="A64" s="335"/>
      <c r="B64" s="357"/>
      <c r="C64" s="33" t="s">
        <v>86</v>
      </c>
      <c r="D64" s="29" t="s">
        <v>133</v>
      </c>
      <c r="E64" s="33" t="s">
        <v>92</v>
      </c>
      <c r="F64" s="76"/>
      <c r="G64" s="76"/>
      <c r="H64" s="76"/>
      <c r="I64" s="76" t="s">
        <v>33</v>
      </c>
      <c r="J64" s="105">
        <v>57.7</v>
      </c>
      <c r="K64" s="105">
        <v>57.7</v>
      </c>
      <c r="L64" s="106">
        <v>35.1</v>
      </c>
      <c r="M64" s="106">
        <v>90.7</v>
      </c>
      <c r="N64" s="106">
        <v>94.7</v>
      </c>
      <c r="O64" s="106">
        <v>98.9</v>
      </c>
    </row>
    <row r="65" spans="1:21" s="61" customFormat="1" ht="45" customHeight="1" x14ac:dyDescent="0.25">
      <c r="A65" s="335"/>
      <c r="B65" s="357" t="s">
        <v>61</v>
      </c>
      <c r="C65" s="107" t="s">
        <v>134</v>
      </c>
      <c r="D65" s="94"/>
      <c r="E65" s="94" t="s">
        <v>135</v>
      </c>
      <c r="F65" s="71" t="s">
        <v>136</v>
      </c>
      <c r="G65" s="71" t="s">
        <v>137</v>
      </c>
      <c r="H65" s="71" t="s">
        <v>74</v>
      </c>
      <c r="I65" s="71"/>
      <c r="J65" s="80">
        <f>J66+J67+J68+J69</f>
        <v>4785.8</v>
      </c>
      <c r="K65" s="80">
        <f t="shared" ref="K65:O65" si="14">K66+K67+K68+K69</f>
        <v>4785.8</v>
      </c>
      <c r="L65" s="72">
        <f t="shared" si="14"/>
        <v>5322.5999999999995</v>
      </c>
      <c r="M65" s="72">
        <f t="shared" si="14"/>
        <v>5278.5</v>
      </c>
      <c r="N65" s="72">
        <f t="shared" si="14"/>
        <v>5437.2000000000007</v>
      </c>
      <c r="O65" s="72">
        <f t="shared" si="14"/>
        <v>5443</v>
      </c>
    </row>
    <row r="66" spans="1:21" s="61" customFormat="1" ht="45" customHeight="1" x14ac:dyDescent="0.25">
      <c r="A66" s="335"/>
      <c r="B66" s="357"/>
      <c r="C66" s="33" t="s">
        <v>116</v>
      </c>
      <c r="D66" s="31" t="s">
        <v>105</v>
      </c>
      <c r="E66" s="99" t="s">
        <v>117</v>
      </c>
      <c r="F66" s="71"/>
      <c r="G66" s="71"/>
      <c r="H66" s="76"/>
      <c r="I66" s="76" t="s">
        <v>27</v>
      </c>
      <c r="J66" s="77">
        <v>3728.1</v>
      </c>
      <c r="K66" s="77">
        <v>3728.1</v>
      </c>
      <c r="L66" s="78">
        <v>3915.4</v>
      </c>
      <c r="M66" s="78">
        <v>3957.5</v>
      </c>
      <c r="N66" s="78">
        <v>4075.6</v>
      </c>
      <c r="O66" s="78">
        <v>4076</v>
      </c>
    </row>
    <row r="67" spans="1:21" s="61" customFormat="1" ht="45" customHeight="1" x14ac:dyDescent="0.25">
      <c r="A67" s="335"/>
      <c r="B67" s="357"/>
      <c r="C67" s="29" t="s">
        <v>120</v>
      </c>
      <c r="D67" s="31" t="s">
        <v>79</v>
      </c>
      <c r="E67" s="33" t="s">
        <v>108</v>
      </c>
      <c r="F67" s="71"/>
      <c r="G67" s="71"/>
      <c r="H67" s="76"/>
      <c r="I67" s="76" t="s">
        <v>30</v>
      </c>
      <c r="J67" s="90">
        <v>0</v>
      </c>
      <c r="K67" s="90">
        <v>0</v>
      </c>
      <c r="L67" s="91">
        <v>26.2</v>
      </c>
      <c r="M67" s="91">
        <v>9</v>
      </c>
      <c r="N67" s="91">
        <v>9</v>
      </c>
      <c r="O67" s="91">
        <v>9</v>
      </c>
    </row>
    <row r="68" spans="1:21" s="61" customFormat="1" ht="45" customHeight="1" x14ac:dyDescent="0.25">
      <c r="A68" s="335"/>
      <c r="B68" s="357"/>
      <c r="C68" s="29" t="s">
        <v>127</v>
      </c>
      <c r="D68" s="82"/>
      <c r="E68" s="33" t="s">
        <v>119</v>
      </c>
      <c r="F68" s="71"/>
      <c r="G68" s="71"/>
      <c r="H68" s="76"/>
      <c r="I68" s="76" t="s">
        <v>28</v>
      </c>
      <c r="J68" s="90">
        <v>996.1</v>
      </c>
      <c r="K68" s="90">
        <v>996.1</v>
      </c>
      <c r="L68" s="91">
        <v>1291.3</v>
      </c>
      <c r="M68" s="91">
        <v>1195</v>
      </c>
      <c r="N68" s="78">
        <v>1230.5</v>
      </c>
      <c r="O68" s="78">
        <v>1230.5</v>
      </c>
    </row>
    <row r="69" spans="1:21" s="61" customFormat="1" ht="45" customHeight="1" x14ac:dyDescent="0.25">
      <c r="A69" s="335"/>
      <c r="B69" s="407"/>
      <c r="C69" s="33" t="s">
        <v>86</v>
      </c>
      <c r="D69" s="29" t="s">
        <v>138</v>
      </c>
      <c r="E69" s="33" t="s">
        <v>46</v>
      </c>
      <c r="F69" s="71"/>
      <c r="G69" s="71"/>
      <c r="H69" s="76"/>
      <c r="I69" s="76" t="s">
        <v>33</v>
      </c>
      <c r="J69" s="90">
        <v>61.6</v>
      </c>
      <c r="K69" s="90">
        <v>61.6</v>
      </c>
      <c r="L69" s="91">
        <v>89.7</v>
      </c>
      <c r="M69" s="91">
        <v>117</v>
      </c>
      <c r="N69" s="91">
        <v>122.1</v>
      </c>
      <c r="O69" s="91">
        <v>127.5</v>
      </c>
      <c r="P69" s="96"/>
      <c r="Q69" s="96"/>
    </row>
    <row r="70" spans="1:21" s="109" customFormat="1" ht="45" customHeight="1" x14ac:dyDescent="0.25">
      <c r="A70" s="408">
        <v>902</v>
      </c>
      <c r="B70" s="356" t="s">
        <v>139</v>
      </c>
      <c r="C70" s="20" t="s">
        <v>140</v>
      </c>
      <c r="D70" s="70" t="s">
        <v>141</v>
      </c>
      <c r="E70" s="20" t="s">
        <v>142</v>
      </c>
      <c r="F70" s="99"/>
      <c r="G70" s="99"/>
      <c r="H70" s="99"/>
      <c r="I70" s="99"/>
      <c r="J70" s="72">
        <f t="shared" ref="J70:L70" si="15">J71+J74+J79+J80+J81+J85+J87+J89+J90+J91</f>
        <v>11368.499999999998</v>
      </c>
      <c r="K70" s="72">
        <f t="shared" si="15"/>
        <v>10772.199999999999</v>
      </c>
      <c r="L70" s="72">
        <f t="shared" si="15"/>
        <v>11889.160000000002</v>
      </c>
      <c r="M70" s="72">
        <f>M71+M74+M79+M80+M81+M85+M87+M89+M90+M91</f>
        <v>52664.600000000006</v>
      </c>
      <c r="N70" s="72">
        <f>N71+N74+N79+N80+N81+N85+N87+N89+N90+N91</f>
        <v>42600.7</v>
      </c>
      <c r="O70" s="72">
        <f>O71+O74+O79+O80+O81+O85+O87+O89+O90+O91</f>
        <v>40855.199999999997</v>
      </c>
      <c r="P70" s="108"/>
      <c r="Q70" s="108"/>
      <c r="R70" s="108"/>
      <c r="S70" s="108"/>
      <c r="T70" s="108"/>
      <c r="U70" s="108"/>
    </row>
    <row r="71" spans="1:21" s="74" customFormat="1" ht="45" customHeight="1" x14ac:dyDescent="0.25">
      <c r="A71" s="409"/>
      <c r="B71" s="357"/>
      <c r="C71" s="110" t="s">
        <v>143</v>
      </c>
      <c r="D71" s="110" t="s">
        <v>144</v>
      </c>
      <c r="E71" s="110" t="s">
        <v>145</v>
      </c>
      <c r="F71" s="111" t="s">
        <v>20</v>
      </c>
      <c r="G71" s="111" t="s">
        <v>146</v>
      </c>
      <c r="H71" s="111" t="s">
        <v>147</v>
      </c>
      <c r="I71" s="111"/>
      <c r="J71" s="112">
        <f>J72</f>
        <v>338</v>
      </c>
      <c r="K71" s="112">
        <f t="shared" ref="K71" si="16">K72</f>
        <v>338</v>
      </c>
      <c r="L71" s="112">
        <f>SUM(L72:L73)</f>
        <v>1500.1</v>
      </c>
      <c r="M71" s="112">
        <f t="shared" ref="M71:N71" si="17">SUM(M72:M73)</f>
        <v>1200</v>
      </c>
      <c r="N71" s="112">
        <f t="shared" si="17"/>
        <v>1703.9</v>
      </c>
      <c r="O71" s="112">
        <f>SUM(O72:O73)</f>
        <v>1778.8</v>
      </c>
      <c r="S71" s="73"/>
      <c r="T71" s="73"/>
      <c r="U71" s="73"/>
    </row>
    <row r="72" spans="1:21" s="114" customFormat="1" ht="45" customHeight="1" x14ac:dyDescent="0.25">
      <c r="A72" s="409"/>
      <c r="B72" s="357"/>
      <c r="C72" s="33" t="s">
        <v>86</v>
      </c>
      <c r="D72" s="29" t="s">
        <v>148</v>
      </c>
      <c r="E72" s="29" t="s">
        <v>129</v>
      </c>
      <c r="F72" s="99"/>
      <c r="G72" s="99"/>
      <c r="H72" s="99"/>
      <c r="I72" s="99" t="s">
        <v>33</v>
      </c>
      <c r="J72" s="91">
        <v>338</v>
      </c>
      <c r="K72" s="91">
        <v>338</v>
      </c>
      <c r="L72" s="78">
        <v>1434.5</v>
      </c>
      <c r="M72" s="78">
        <v>1200</v>
      </c>
      <c r="N72" s="78">
        <v>1703.9</v>
      </c>
      <c r="O72" s="78">
        <v>1778.8</v>
      </c>
      <c r="P72" s="113"/>
    </row>
    <row r="73" spans="1:21" s="114" customFormat="1" ht="45" customHeight="1" x14ac:dyDescent="0.25">
      <c r="A73" s="409"/>
      <c r="B73" s="357"/>
      <c r="C73" s="115" t="s">
        <v>149</v>
      </c>
      <c r="D73" s="116" t="s">
        <v>150</v>
      </c>
      <c r="E73" s="33" t="s">
        <v>95</v>
      </c>
      <c r="F73" s="99"/>
      <c r="G73" s="99"/>
      <c r="H73" s="99"/>
      <c r="I73" s="99" t="s">
        <v>96</v>
      </c>
      <c r="J73" s="91">
        <v>0</v>
      </c>
      <c r="K73" s="91">
        <v>0</v>
      </c>
      <c r="L73" s="91">
        <v>65.599999999999994</v>
      </c>
      <c r="M73" s="91">
        <v>0</v>
      </c>
      <c r="N73" s="91">
        <v>0</v>
      </c>
      <c r="O73" s="91">
        <v>0</v>
      </c>
    </row>
    <row r="74" spans="1:21" s="114" customFormat="1" ht="45" customHeight="1" x14ac:dyDescent="0.25">
      <c r="A74" s="409"/>
      <c r="B74" s="357"/>
      <c r="C74" s="20" t="s">
        <v>143</v>
      </c>
      <c r="D74" s="110" t="s">
        <v>144</v>
      </c>
      <c r="E74" s="110" t="s">
        <v>145</v>
      </c>
      <c r="F74" s="111" t="s">
        <v>20</v>
      </c>
      <c r="G74" s="111" t="s">
        <v>146</v>
      </c>
      <c r="H74" s="111" t="s">
        <v>151</v>
      </c>
      <c r="I74" s="111"/>
      <c r="J74" s="117">
        <f t="shared" ref="J74:K74" si="18">J75+J76+J77</f>
        <v>889.90000000000009</v>
      </c>
      <c r="K74" s="117">
        <f t="shared" si="18"/>
        <v>752.4</v>
      </c>
      <c r="L74" s="117">
        <f>SUM(L75:L78)</f>
        <v>1055.96</v>
      </c>
      <c r="M74" s="117">
        <f t="shared" ref="M74:N74" si="19">SUM(M75:M78)</f>
        <v>1149.5999999999999</v>
      </c>
      <c r="N74" s="117">
        <f t="shared" si="19"/>
        <v>1198.5</v>
      </c>
      <c r="O74" s="117">
        <f>SUM(O75:O78)</f>
        <v>1249.2</v>
      </c>
    </row>
    <row r="75" spans="1:21" s="114" customFormat="1" ht="45" customHeight="1" x14ac:dyDescent="0.25">
      <c r="A75" s="409"/>
      <c r="B75" s="357"/>
      <c r="C75" s="92"/>
      <c r="D75" s="110"/>
      <c r="E75" s="29"/>
      <c r="F75" s="111"/>
      <c r="G75" s="111"/>
      <c r="H75" s="111"/>
      <c r="I75" s="99" t="s">
        <v>43</v>
      </c>
      <c r="J75" s="78">
        <v>0</v>
      </c>
      <c r="K75" s="78">
        <v>0</v>
      </c>
      <c r="L75" s="78">
        <v>0</v>
      </c>
      <c r="M75" s="78">
        <v>0</v>
      </c>
      <c r="N75" s="78">
        <v>0</v>
      </c>
      <c r="O75" s="78">
        <v>0</v>
      </c>
    </row>
    <row r="76" spans="1:21" s="114" customFormat="1" ht="45" customHeight="1" x14ac:dyDescent="0.25">
      <c r="A76" s="409"/>
      <c r="B76" s="357"/>
      <c r="C76" s="33" t="s">
        <v>86</v>
      </c>
      <c r="D76" s="29" t="s">
        <v>152</v>
      </c>
      <c r="E76" s="29" t="s">
        <v>129</v>
      </c>
      <c r="F76" s="99"/>
      <c r="G76" s="99"/>
      <c r="H76" s="99"/>
      <c r="I76" s="99" t="s">
        <v>33</v>
      </c>
      <c r="J76" s="91">
        <v>506.3</v>
      </c>
      <c r="K76" s="91">
        <v>506.3</v>
      </c>
      <c r="L76" s="91">
        <v>694.8</v>
      </c>
      <c r="M76" s="91">
        <v>649.6</v>
      </c>
      <c r="N76" s="91">
        <v>698.5</v>
      </c>
      <c r="O76" s="91">
        <v>749.2</v>
      </c>
    </row>
    <row r="77" spans="1:21" s="114" customFormat="1" ht="45" customHeight="1" x14ac:dyDescent="0.25">
      <c r="A77" s="409"/>
      <c r="B77" s="357"/>
      <c r="C77" s="29" t="s">
        <v>90</v>
      </c>
      <c r="D77" s="118" t="s">
        <v>153</v>
      </c>
      <c r="E77" s="29" t="s">
        <v>129</v>
      </c>
      <c r="F77" s="99"/>
      <c r="G77" s="99"/>
      <c r="H77" s="99"/>
      <c r="I77" s="99" t="s">
        <v>93</v>
      </c>
      <c r="J77" s="91">
        <v>383.6</v>
      </c>
      <c r="K77" s="91">
        <v>246.1</v>
      </c>
      <c r="L77" s="91">
        <v>361.1</v>
      </c>
      <c r="M77" s="91">
        <v>500</v>
      </c>
      <c r="N77" s="91">
        <v>500</v>
      </c>
      <c r="O77" s="91">
        <v>500</v>
      </c>
    </row>
    <row r="78" spans="1:21" s="114" customFormat="1" ht="45" customHeight="1" x14ac:dyDescent="0.25">
      <c r="A78" s="409"/>
      <c r="B78" s="357"/>
      <c r="C78" s="33" t="s">
        <v>154</v>
      </c>
      <c r="D78" s="84" t="s">
        <v>155</v>
      </c>
      <c r="E78" s="29" t="s">
        <v>95</v>
      </c>
      <c r="F78" s="99"/>
      <c r="G78" s="99"/>
      <c r="H78" s="99"/>
      <c r="I78" s="99" t="s">
        <v>41</v>
      </c>
      <c r="J78" s="91">
        <v>0</v>
      </c>
      <c r="K78" s="91">
        <v>0</v>
      </c>
      <c r="L78" s="91">
        <v>0.06</v>
      </c>
      <c r="M78" s="91">
        <v>0</v>
      </c>
      <c r="N78" s="91">
        <v>0</v>
      </c>
      <c r="O78" s="91">
        <v>0</v>
      </c>
    </row>
    <row r="79" spans="1:21" s="114" customFormat="1" ht="45" customHeight="1" x14ac:dyDescent="0.25">
      <c r="A79" s="409"/>
      <c r="B79" s="357"/>
      <c r="C79" s="33" t="s">
        <v>86</v>
      </c>
      <c r="D79" s="119" t="s">
        <v>156</v>
      </c>
      <c r="E79" s="20" t="s">
        <v>157</v>
      </c>
      <c r="F79" s="111" t="s">
        <v>20</v>
      </c>
      <c r="G79" s="111" t="s">
        <v>146</v>
      </c>
      <c r="H79" s="111" t="s">
        <v>158</v>
      </c>
      <c r="I79" s="111" t="s">
        <v>33</v>
      </c>
      <c r="J79" s="117">
        <v>1327.9</v>
      </c>
      <c r="K79" s="117">
        <v>1327.9</v>
      </c>
      <c r="L79" s="117">
        <v>1246.9000000000001</v>
      </c>
      <c r="M79" s="117">
        <v>1686.5</v>
      </c>
      <c r="N79" s="117">
        <v>1760.7</v>
      </c>
      <c r="O79" s="117">
        <v>1838.2</v>
      </c>
    </row>
    <row r="80" spans="1:21" s="114" customFormat="1" ht="45" customHeight="1" x14ac:dyDescent="0.25">
      <c r="A80" s="409"/>
      <c r="B80" s="357"/>
      <c r="C80" s="120" t="s">
        <v>159</v>
      </c>
      <c r="D80" s="119"/>
      <c r="E80" s="20" t="s">
        <v>160</v>
      </c>
      <c r="F80" s="111" t="s">
        <v>20</v>
      </c>
      <c r="G80" s="111" t="s">
        <v>146</v>
      </c>
      <c r="H80" s="111" t="s">
        <v>161</v>
      </c>
      <c r="I80" s="111" t="s">
        <v>162</v>
      </c>
      <c r="J80" s="112">
        <v>0</v>
      </c>
      <c r="K80" s="112">
        <v>0</v>
      </c>
      <c r="L80" s="112">
        <v>0</v>
      </c>
      <c r="M80" s="112">
        <v>0</v>
      </c>
      <c r="N80" s="112">
        <v>0</v>
      </c>
      <c r="O80" s="112">
        <v>0</v>
      </c>
    </row>
    <row r="81" spans="1:16" s="74" customFormat="1" ht="45" customHeight="1" x14ac:dyDescent="0.25">
      <c r="A81" s="409"/>
      <c r="B81" s="357"/>
      <c r="C81" s="20" t="s">
        <v>163</v>
      </c>
      <c r="D81" s="121"/>
      <c r="E81" s="20" t="s">
        <v>164</v>
      </c>
      <c r="F81" s="111" t="s">
        <v>20</v>
      </c>
      <c r="G81" s="111" t="s">
        <v>146</v>
      </c>
      <c r="H81" s="111" t="s">
        <v>165</v>
      </c>
      <c r="I81" s="111"/>
      <c r="J81" s="112">
        <f t="shared" ref="J81:N81" si="20">J82+J83+J84</f>
        <v>1136.7</v>
      </c>
      <c r="K81" s="112">
        <f t="shared" si="20"/>
        <v>1136.7</v>
      </c>
      <c r="L81" s="117">
        <f t="shared" si="20"/>
        <v>920.1</v>
      </c>
      <c r="M81" s="117">
        <f t="shared" si="20"/>
        <v>10423.1</v>
      </c>
      <c r="N81" s="117">
        <f t="shared" si="20"/>
        <v>30253.1</v>
      </c>
      <c r="O81" s="117">
        <f>SUM(O82:O84)</f>
        <v>30016.6</v>
      </c>
    </row>
    <row r="82" spans="1:16" s="114" customFormat="1" ht="45" customHeight="1" x14ac:dyDescent="0.25">
      <c r="A82" s="409"/>
      <c r="B82" s="357"/>
      <c r="C82" s="33" t="s">
        <v>86</v>
      </c>
      <c r="D82" s="33" t="s">
        <v>166</v>
      </c>
      <c r="E82" s="29" t="s">
        <v>167</v>
      </c>
      <c r="F82" s="99"/>
      <c r="G82" s="99"/>
      <c r="H82" s="99"/>
      <c r="I82" s="99" t="s">
        <v>33</v>
      </c>
      <c r="J82" s="78">
        <v>6</v>
      </c>
      <c r="K82" s="78">
        <v>6</v>
      </c>
      <c r="L82" s="78">
        <v>51</v>
      </c>
      <c r="M82" s="78">
        <v>0</v>
      </c>
      <c r="N82" s="78">
        <v>0</v>
      </c>
      <c r="O82" s="78">
        <v>0</v>
      </c>
    </row>
    <row r="83" spans="1:16" s="114" customFormat="1" ht="45" customHeight="1" x14ac:dyDescent="0.25">
      <c r="A83" s="409"/>
      <c r="B83" s="357"/>
      <c r="C83" s="118" t="s">
        <v>168</v>
      </c>
      <c r="D83" s="33" t="s">
        <v>169</v>
      </c>
      <c r="E83" s="29" t="s">
        <v>170</v>
      </c>
      <c r="F83" s="99"/>
      <c r="G83" s="99"/>
      <c r="H83" s="99"/>
      <c r="I83" s="99" t="s">
        <v>96</v>
      </c>
      <c r="J83" s="78">
        <v>930.7</v>
      </c>
      <c r="K83" s="78">
        <v>930.7</v>
      </c>
      <c r="L83" s="78">
        <v>198.9</v>
      </c>
      <c r="M83" s="78">
        <v>10423.1</v>
      </c>
      <c r="N83" s="78">
        <v>30253.1</v>
      </c>
      <c r="O83" s="78">
        <v>30016.6</v>
      </c>
    </row>
    <row r="84" spans="1:16" s="114" customFormat="1" ht="45" customHeight="1" x14ac:dyDescent="0.25">
      <c r="A84" s="409"/>
      <c r="B84" s="357"/>
      <c r="C84" s="33" t="s">
        <v>154</v>
      </c>
      <c r="D84" s="122" t="s">
        <v>171</v>
      </c>
      <c r="E84" s="29" t="s">
        <v>170</v>
      </c>
      <c r="F84" s="99"/>
      <c r="G84" s="99"/>
      <c r="H84" s="99"/>
      <c r="I84" s="99" t="s">
        <v>41</v>
      </c>
      <c r="J84" s="78">
        <v>200</v>
      </c>
      <c r="K84" s="78">
        <v>200</v>
      </c>
      <c r="L84" s="78">
        <v>670.2</v>
      </c>
      <c r="M84" s="78">
        <v>0</v>
      </c>
      <c r="N84" s="78">
        <v>0</v>
      </c>
      <c r="O84" s="78">
        <v>0</v>
      </c>
    </row>
    <row r="85" spans="1:16" s="74" customFormat="1" ht="45" customHeight="1" x14ac:dyDescent="0.25">
      <c r="A85" s="409"/>
      <c r="B85" s="357"/>
      <c r="C85" s="110" t="s">
        <v>172</v>
      </c>
      <c r="D85" s="123"/>
      <c r="E85" s="110" t="s">
        <v>173</v>
      </c>
      <c r="F85" s="111" t="s">
        <v>20</v>
      </c>
      <c r="G85" s="111" t="s">
        <v>146</v>
      </c>
      <c r="H85" s="111" t="s">
        <v>174</v>
      </c>
      <c r="I85" s="111"/>
      <c r="J85" s="117">
        <f t="shared" ref="J85:K85" si="21">J86</f>
        <v>6921.9</v>
      </c>
      <c r="K85" s="117">
        <f t="shared" si="21"/>
        <v>6463.1</v>
      </c>
      <c r="L85" s="117">
        <f>L86</f>
        <v>5079.2</v>
      </c>
      <c r="M85" s="117">
        <f>M86</f>
        <v>4124.3</v>
      </c>
      <c r="N85" s="117">
        <f>N86</f>
        <v>4800</v>
      </c>
      <c r="O85" s="117">
        <f>SUM(O86)</f>
        <v>4800</v>
      </c>
    </row>
    <row r="86" spans="1:16" s="74" customFormat="1" ht="45" customHeight="1" x14ac:dyDescent="0.25">
      <c r="A86" s="409"/>
      <c r="B86" s="357"/>
      <c r="C86" s="27" t="s">
        <v>175</v>
      </c>
      <c r="D86" s="84" t="s">
        <v>176</v>
      </c>
      <c r="E86" s="29" t="s">
        <v>177</v>
      </c>
      <c r="F86" s="99"/>
      <c r="G86" s="99"/>
      <c r="H86" s="99"/>
      <c r="I86" s="99" t="s">
        <v>33</v>
      </c>
      <c r="J86" s="78">
        <v>6921.9</v>
      </c>
      <c r="K86" s="78">
        <v>6463.1</v>
      </c>
      <c r="L86" s="78">
        <v>5079.2</v>
      </c>
      <c r="M86" s="78">
        <v>4124.3</v>
      </c>
      <c r="N86" s="78">
        <v>4800</v>
      </c>
      <c r="O86" s="78">
        <v>4800</v>
      </c>
    </row>
    <row r="87" spans="1:16" s="74" customFormat="1" ht="45" customHeight="1" x14ac:dyDescent="0.25">
      <c r="A87" s="409"/>
      <c r="B87" s="357"/>
      <c r="C87" s="124" t="s">
        <v>178</v>
      </c>
      <c r="D87" s="20"/>
      <c r="E87" s="20" t="s">
        <v>179</v>
      </c>
      <c r="F87" s="111" t="s">
        <v>20</v>
      </c>
      <c r="G87" s="111" t="s">
        <v>146</v>
      </c>
      <c r="H87" s="111" t="s">
        <v>180</v>
      </c>
      <c r="I87" s="111"/>
      <c r="J87" s="112">
        <f t="shared" ref="J87:N87" si="22">J88</f>
        <v>728.3</v>
      </c>
      <c r="K87" s="112">
        <f t="shared" si="22"/>
        <v>728.3</v>
      </c>
      <c r="L87" s="117">
        <f t="shared" si="22"/>
        <v>442.7</v>
      </c>
      <c r="M87" s="117">
        <f t="shared" si="22"/>
        <v>690.9</v>
      </c>
      <c r="N87" s="117">
        <f t="shared" si="22"/>
        <v>1755</v>
      </c>
      <c r="O87" s="117">
        <f>SUM(O88)</f>
        <v>0</v>
      </c>
    </row>
    <row r="88" spans="1:16" s="74" customFormat="1" ht="45" customHeight="1" x14ac:dyDescent="0.25">
      <c r="A88" s="409"/>
      <c r="B88" s="357"/>
      <c r="C88" s="27" t="s">
        <v>175</v>
      </c>
      <c r="D88" s="29" t="s">
        <v>181</v>
      </c>
      <c r="E88" s="29" t="s">
        <v>157</v>
      </c>
      <c r="F88" s="69"/>
      <c r="G88" s="69"/>
      <c r="H88" s="69"/>
      <c r="I88" s="99" t="s">
        <v>33</v>
      </c>
      <c r="J88" s="91">
        <v>728.3</v>
      </c>
      <c r="K88" s="91">
        <v>728.3</v>
      </c>
      <c r="L88" s="78">
        <v>442.7</v>
      </c>
      <c r="M88" s="78">
        <v>690.9</v>
      </c>
      <c r="N88" s="78">
        <v>1755</v>
      </c>
      <c r="O88" s="78">
        <v>0</v>
      </c>
    </row>
    <row r="89" spans="1:16" s="74" customFormat="1" ht="45" customHeight="1" x14ac:dyDescent="0.25">
      <c r="A89" s="125"/>
      <c r="B89" s="357"/>
      <c r="C89" s="212" t="s">
        <v>182</v>
      </c>
      <c r="D89" s="20"/>
      <c r="E89" s="29" t="s">
        <v>183</v>
      </c>
      <c r="F89" s="69" t="s">
        <v>73</v>
      </c>
      <c r="G89" s="69" t="s">
        <v>103</v>
      </c>
      <c r="H89" s="69" t="s">
        <v>184</v>
      </c>
      <c r="I89" s="69" t="s">
        <v>33</v>
      </c>
      <c r="J89" s="126">
        <v>25.8</v>
      </c>
      <c r="K89" s="126">
        <v>25.8</v>
      </c>
      <c r="L89" s="126">
        <v>494.2</v>
      </c>
      <c r="M89" s="72">
        <v>5000</v>
      </c>
      <c r="N89" s="72">
        <v>1129.5</v>
      </c>
      <c r="O89" s="72">
        <v>1172.4000000000001</v>
      </c>
      <c r="P89" s="127"/>
    </row>
    <row r="90" spans="1:16" s="74" customFormat="1" ht="45" customHeight="1" x14ac:dyDescent="0.25">
      <c r="A90" s="125"/>
      <c r="B90" s="79"/>
      <c r="C90" s="27" t="s">
        <v>175</v>
      </c>
      <c r="D90" s="29" t="s">
        <v>185</v>
      </c>
      <c r="E90" s="29" t="s">
        <v>177</v>
      </c>
      <c r="F90" s="69" t="s">
        <v>73</v>
      </c>
      <c r="G90" s="69" t="s">
        <v>103</v>
      </c>
      <c r="H90" s="69" t="s">
        <v>186</v>
      </c>
      <c r="I90" s="69" t="s">
        <v>33</v>
      </c>
      <c r="J90" s="126">
        <v>0</v>
      </c>
      <c r="K90" s="126">
        <v>0</v>
      </c>
      <c r="L90" s="72">
        <v>1150</v>
      </c>
      <c r="M90" s="72">
        <v>18706</v>
      </c>
      <c r="N90" s="72">
        <v>0</v>
      </c>
      <c r="O90" s="72">
        <v>0</v>
      </c>
      <c r="P90" s="127"/>
    </row>
    <row r="91" spans="1:16" s="74" customFormat="1" ht="45" customHeight="1" x14ac:dyDescent="0.25">
      <c r="A91" s="125"/>
      <c r="B91" s="171"/>
      <c r="C91" s="27" t="s">
        <v>175</v>
      </c>
      <c r="D91" s="20"/>
      <c r="E91" s="29" t="s">
        <v>187</v>
      </c>
      <c r="F91" s="69" t="s">
        <v>73</v>
      </c>
      <c r="G91" s="69" t="s">
        <v>103</v>
      </c>
      <c r="H91" s="69" t="s">
        <v>188</v>
      </c>
      <c r="I91" s="69" t="s">
        <v>33</v>
      </c>
      <c r="J91" s="126">
        <v>0</v>
      </c>
      <c r="K91" s="126">
        <v>0</v>
      </c>
      <c r="L91" s="72">
        <v>0</v>
      </c>
      <c r="M91" s="72">
        <v>9684.2000000000007</v>
      </c>
      <c r="N91" s="72">
        <v>0</v>
      </c>
      <c r="O91" s="72">
        <v>0</v>
      </c>
      <c r="P91" s="127"/>
    </row>
    <row r="92" spans="1:16" s="109" customFormat="1" ht="45" customHeight="1" x14ac:dyDescent="0.25">
      <c r="A92" s="408">
        <v>902</v>
      </c>
      <c r="B92" s="356" t="s">
        <v>189</v>
      </c>
      <c r="C92" s="20" t="s">
        <v>190</v>
      </c>
      <c r="D92" s="70" t="s">
        <v>191</v>
      </c>
      <c r="E92" s="69" t="s">
        <v>192</v>
      </c>
      <c r="F92" s="69"/>
      <c r="G92" s="99"/>
      <c r="H92" s="99"/>
      <c r="I92" s="99"/>
      <c r="J92" s="72">
        <f>J93+J95+J96</f>
        <v>2714.7</v>
      </c>
      <c r="K92" s="72">
        <f t="shared" ref="K92:O92" si="23">K93+K95+K96</f>
        <v>2714.7</v>
      </c>
      <c r="L92" s="72">
        <f t="shared" si="23"/>
        <v>2377.7999999999997</v>
      </c>
      <c r="M92" s="72">
        <f t="shared" si="23"/>
        <v>2887.7</v>
      </c>
      <c r="N92" s="72">
        <f t="shared" si="23"/>
        <v>2646.8</v>
      </c>
      <c r="O92" s="72">
        <f t="shared" si="23"/>
        <v>3351.9</v>
      </c>
    </row>
    <row r="93" spans="1:16" s="74" customFormat="1" ht="45" customHeight="1" x14ac:dyDescent="0.25">
      <c r="A93" s="409"/>
      <c r="B93" s="357"/>
      <c r="C93" s="213" t="s">
        <v>193</v>
      </c>
      <c r="D93" s="70"/>
      <c r="E93" s="70" t="s">
        <v>194</v>
      </c>
      <c r="F93" s="69" t="s">
        <v>73</v>
      </c>
      <c r="G93" s="69" t="s">
        <v>115</v>
      </c>
      <c r="H93" s="69"/>
      <c r="I93" s="69"/>
      <c r="J93" s="72">
        <f>J94</f>
        <v>0</v>
      </c>
      <c r="K93" s="72">
        <f t="shared" ref="K93:O93" si="24">K94</f>
        <v>0</v>
      </c>
      <c r="L93" s="72">
        <f t="shared" si="24"/>
        <v>0</v>
      </c>
      <c r="M93" s="72">
        <f t="shared" si="24"/>
        <v>0</v>
      </c>
      <c r="N93" s="72">
        <f t="shared" si="24"/>
        <v>0</v>
      </c>
      <c r="O93" s="72">
        <f t="shared" si="24"/>
        <v>0</v>
      </c>
    </row>
    <row r="94" spans="1:16" s="114" customFormat="1" ht="45" customHeight="1" x14ac:dyDescent="0.25">
      <c r="A94" s="409"/>
      <c r="B94" s="357"/>
      <c r="C94" s="27" t="s">
        <v>175</v>
      </c>
      <c r="D94" s="33"/>
      <c r="E94" s="33"/>
      <c r="F94" s="99"/>
      <c r="G94" s="99"/>
      <c r="H94" s="99" t="s">
        <v>195</v>
      </c>
      <c r="I94" s="99" t="s">
        <v>33</v>
      </c>
      <c r="J94" s="78">
        <v>0</v>
      </c>
      <c r="K94" s="78">
        <v>0</v>
      </c>
      <c r="L94" s="78">
        <v>0</v>
      </c>
      <c r="M94" s="78">
        <v>0</v>
      </c>
      <c r="N94" s="78">
        <v>0</v>
      </c>
      <c r="O94" s="78">
        <v>0</v>
      </c>
      <c r="P94" s="128"/>
    </row>
    <row r="95" spans="1:16" s="114" customFormat="1" ht="45" customHeight="1" x14ac:dyDescent="0.25">
      <c r="A95" s="409"/>
      <c r="B95" s="357"/>
      <c r="C95" s="214" t="s">
        <v>196</v>
      </c>
      <c r="D95" s="33" t="s">
        <v>197</v>
      </c>
      <c r="E95" s="70" t="s">
        <v>198</v>
      </c>
      <c r="F95" s="69" t="s">
        <v>73</v>
      </c>
      <c r="G95" s="69" t="s">
        <v>115</v>
      </c>
      <c r="H95" s="69" t="s">
        <v>199</v>
      </c>
      <c r="I95" s="69" t="s">
        <v>33</v>
      </c>
      <c r="J95" s="72">
        <v>2662.7</v>
      </c>
      <c r="K95" s="72">
        <v>2662.7</v>
      </c>
      <c r="L95" s="72">
        <v>2323.6999999999998</v>
      </c>
      <c r="M95" s="72">
        <v>2831.5</v>
      </c>
      <c r="N95" s="72">
        <v>2594.9</v>
      </c>
      <c r="O95" s="72">
        <v>3300</v>
      </c>
      <c r="P95" s="129"/>
    </row>
    <row r="96" spans="1:16" s="114" customFormat="1" ht="45" customHeight="1" x14ac:dyDescent="0.25">
      <c r="A96" s="409"/>
      <c r="B96" s="357"/>
      <c r="C96" s="215" t="s">
        <v>200</v>
      </c>
      <c r="D96" s="33" t="s">
        <v>201</v>
      </c>
      <c r="E96" s="70" t="s">
        <v>202</v>
      </c>
      <c r="F96" s="69" t="s">
        <v>73</v>
      </c>
      <c r="G96" s="69" t="s">
        <v>115</v>
      </c>
      <c r="H96" s="69" t="s">
        <v>203</v>
      </c>
      <c r="I96" s="69" t="s">
        <v>33</v>
      </c>
      <c r="J96" s="72">
        <v>52</v>
      </c>
      <c r="K96" s="72">
        <v>52</v>
      </c>
      <c r="L96" s="72">
        <v>54.1</v>
      </c>
      <c r="M96" s="72">
        <v>56.2</v>
      </c>
      <c r="N96" s="72">
        <v>51.9</v>
      </c>
      <c r="O96" s="72">
        <v>51.9</v>
      </c>
    </row>
    <row r="97" spans="1:21" s="109" customFormat="1" ht="45" customHeight="1" x14ac:dyDescent="0.25">
      <c r="A97" s="408">
        <v>902</v>
      </c>
      <c r="B97" s="356" t="s">
        <v>204</v>
      </c>
      <c r="C97" s="20" t="s">
        <v>205</v>
      </c>
      <c r="D97" s="70" t="s">
        <v>206</v>
      </c>
      <c r="E97" s="20" t="s">
        <v>207</v>
      </c>
      <c r="F97" s="111"/>
      <c r="G97" s="111"/>
      <c r="H97" s="111"/>
      <c r="I97" s="111"/>
      <c r="J97" s="112">
        <f>J98</f>
        <v>107.8</v>
      </c>
      <c r="K97" s="112">
        <f t="shared" ref="K97:O97" si="25">K98</f>
        <v>107.8</v>
      </c>
      <c r="L97" s="112">
        <f t="shared" si="25"/>
        <v>112</v>
      </c>
      <c r="M97" s="112">
        <f t="shared" si="25"/>
        <v>116.4</v>
      </c>
      <c r="N97" s="112">
        <f t="shared" si="25"/>
        <v>120.8</v>
      </c>
      <c r="O97" s="112">
        <f t="shared" si="25"/>
        <v>125.4</v>
      </c>
    </row>
    <row r="98" spans="1:21" s="74" customFormat="1" ht="45" customHeight="1" x14ac:dyDescent="0.25">
      <c r="A98" s="409"/>
      <c r="B98" s="357"/>
      <c r="C98" s="20" t="s">
        <v>208</v>
      </c>
      <c r="D98" s="20"/>
      <c r="E98" s="20" t="s">
        <v>209</v>
      </c>
      <c r="F98" s="111" t="s">
        <v>20</v>
      </c>
      <c r="G98" s="111" t="s">
        <v>146</v>
      </c>
      <c r="H98" s="111" t="s">
        <v>210</v>
      </c>
      <c r="I98" s="111"/>
      <c r="J98" s="112">
        <f t="shared" ref="J98:O98" si="26">J99</f>
        <v>107.8</v>
      </c>
      <c r="K98" s="112">
        <f t="shared" si="26"/>
        <v>107.8</v>
      </c>
      <c r="L98" s="112">
        <f t="shared" si="26"/>
        <v>112</v>
      </c>
      <c r="M98" s="112">
        <f t="shared" si="26"/>
        <v>116.4</v>
      </c>
      <c r="N98" s="112">
        <f t="shared" si="26"/>
        <v>120.8</v>
      </c>
      <c r="O98" s="112">
        <f t="shared" si="26"/>
        <v>125.4</v>
      </c>
    </row>
    <row r="99" spans="1:21" s="74" customFormat="1" ht="45" customHeight="1" x14ac:dyDescent="0.25">
      <c r="A99" s="414"/>
      <c r="B99" s="357"/>
      <c r="C99" s="27" t="s">
        <v>175</v>
      </c>
      <c r="D99" s="153" t="s">
        <v>211</v>
      </c>
      <c r="E99" s="153" t="s">
        <v>212</v>
      </c>
      <c r="F99" s="69"/>
      <c r="G99" s="99"/>
      <c r="H99" s="99"/>
      <c r="I99" s="99" t="s">
        <v>33</v>
      </c>
      <c r="J99" s="91">
        <v>107.8</v>
      </c>
      <c r="K99" s="91">
        <v>107.8</v>
      </c>
      <c r="L99" s="91">
        <v>112</v>
      </c>
      <c r="M99" s="91">
        <v>116.4</v>
      </c>
      <c r="N99" s="91">
        <v>120.8</v>
      </c>
      <c r="O99" s="91">
        <v>125.4</v>
      </c>
    </row>
    <row r="100" spans="1:21" s="109" customFormat="1" ht="45" customHeight="1" x14ac:dyDescent="0.25">
      <c r="A100" s="130">
        <v>902</v>
      </c>
      <c r="B100" s="356" t="s">
        <v>213</v>
      </c>
      <c r="C100" s="20" t="s">
        <v>214</v>
      </c>
      <c r="D100" s="20" t="s">
        <v>215</v>
      </c>
      <c r="E100" s="20" t="s">
        <v>216</v>
      </c>
      <c r="F100" s="99"/>
      <c r="G100" s="99"/>
      <c r="H100" s="69" t="s">
        <v>217</v>
      </c>
      <c r="I100" s="99"/>
      <c r="J100" s="126">
        <f>J101</f>
        <v>47</v>
      </c>
      <c r="K100" s="126">
        <f t="shared" ref="K100" si="27">K101</f>
        <v>47</v>
      </c>
      <c r="L100" s="126">
        <f>SUM(L101:L102)</f>
        <v>150.10000000000002</v>
      </c>
      <c r="M100" s="126">
        <f t="shared" ref="M100:O100" si="28">SUM(M101:M102)</f>
        <v>56.8</v>
      </c>
      <c r="N100" s="126">
        <f t="shared" si="28"/>
        <v>59</v>
      </c>
      <c r="O100" s="126">
        <f t="shared" si="28"/>
        <v>61.2</v>
      </c>
    </row>
    <row r="101" spans="1:21" s="133" customFormat="1" ht="45" customHeight="1" x14ac:dyDescent="0.25">
      <c r="A101" s="131"/>
      <c r="B101" s="357"/>
      <c r="C101" s="27" t="s">
        <v>175</v>
      </c>
      <c r="D101" s="132" t="s">
        <v>218</v>
      </c>
      <c r="E101" s="132" t="s">
        <v>219</v>
      </c>
      <c r="F101" s="99" t="s">
        <v>21</v>
      </c>
      <c r="G101" s="99" t="s">
        <v>220</v>
      </c>
      <c r="H101" s="99" t="s">
        <v>217</v>
      </c>
      <c r="I101" s="99" t="s">
        <v>33</v>
      </c>
      <c r="J101" s="91">
        <v>47</v>
      </c>
      <c r="K101" s="91">
        <v>47</v>
      </c>
      <c r="L101" s="91">
        <v>130.80000000000001</v>
      </c>
      <c r="M101" s="91">
        <v>56.8</v>
      </c>
      <c r="N101" s="91">
        <v>59</v>
      </c>
      <c r="O101" s="91">
        <v>61.2</v>
      </c>
    </row>
    <row r="102" spans="1:21" s="133" customFormat="1" ht="45" customHeight="1" x14ac:dyDescent="0.25">
      <c r="A102" s="131"/>
      <c r="B102" s="171"/>
      <c r="C102" s="27" t="s">
        <v>175</v>
      </c>
      <c r="D102" s="132" t="s">
        <v>221</v>
      </c>
      <c r="E102" s="132"/>
      <c r="F102" s="99" t="s">
        <v>21</v>
      </c>
      <c r="G102" s="99" t="s">
        <v>220</v>
      </c>
      <c r="H102" s="99" t="s">
        <v>217</v>
      </c>
      <c r="I102" s="99" t="s">
        <v>89</v>
      </c>
      <c r="J102" s="91">
        <v>0</v>
      </c>
      <c r="K102" s="91">
        <v>0</v>
      </c>
      <c r="L102" s="91">
        <v>19.3</v>
      </c>
      <c r="M102" s="91">
        <v>0</v>
      </c>
      <c r="N102" s="91">
        <v>0</v>
      </c>
      <c r="O102" s="91">
        <v>0</v>
      </c>
    </row>
    <row r="103" spans="1:21" s="68" customFormat="1" ht="45" customHeight="1" x14ac:dyDescent="0.25">
      <c r="A103" s="408">
        <v>902</v>
      </c>
      <c r="B103" s="356" t="s">
        <v>222</v>
      </c>
      <c r="C103" s="167" t="s">
        <v>223</v>
      </c>
      <c r="D103" s="70" t="s">
        <v>224</v>
      </c>
      <c r="E103" s="20" t="s">
        <v>225</v>
      </c>
      <c r="F103" s="69"/>
      <c r="G103" s="69"/>
      <c r="H103" s="69"/>
      <c r="I103" s="69"/>
      <c r="J103" s="72">
        <f>J104+J107+J106</f>
        <v>3186.4</v>
      </c>
      <c r="K103" s="72">
        <f t="shared" ref="K103:O103" si="29">K104+K107+K106</f>
        <v>3186.4</v>
      </c>
      <c r="L103" s="72">
        <f t="shared" si="29"/>
        <v>3671.3</v>
      </c>
      <c r="M103" s="72">
        <f t="shared" si="29"/>
        <v>4239.7</v>
      </c>
      <c r="N103" s="72">
        <f t="shared" si="29"/>
        <v>3360.8</v>
      </c>
      <c r="O103" s="72">
        <f t="shared" si="29"/>
        <v>3229.4</v>
      </c>
    </row>
    <row r="104" spans="1:21" s="114" customFormat="1" ht="45" customHeight="1" x14ac:dyDescent="0.25">
      <c r="A104" s="409"/>
      <c r="B104" s="357"/>
      <c r="C104" s="134" t="s">
        <v>226</v>
      </c>
      <c r="D104" s="135"/>
      <c r="E104" s="94" t="s">
        <v>227</v>
      </c>
      <c r="F104" s="111" t="s">
        <v>20</v>
      </c>
      <c r="G104" s="111" t="s">
        <v>146</v>
      </c>
      <c r="H104" s="111" t="s">
        <v>228</v>
      </c>
      <c r="I104" s="111"/>
      <c r="J104" s="112">
        <f t="shared" ref="J104:O104" si="30">J105</f>
        <v>175.6</v>
      </c>
      <c r="K104" s="112">
        <f t="shared" si="30"/>
        <v>175.6</v>
      </c>
      <c r="L104" s="112">
        <f t="shared" si="30"/>
        <v>171.3</v>
      </c>
      <c r="M104" s="112">
        <f t="shared" si="30"/>
        <v>189.7</v>
      </c>
      <c r="N104" s="112">
        <f t="shared" si="30"/>
        <v>196.8</v>
      </c>
      <c r="O104" s="112">
        <f t="shared" si="30"/>
        <v>0</v>
      </c>
    </row>
    <row r="105" spans="1:21" s="114" customFormat="1" ht="45" customHeight="1" x14ac:dyDescent="0.25">
      <c r="A105" s="409"/>
      <c r="B105" s="357"/>
      <c r="C105" s="27" t="s">
        <v>175</v>
      </c>
      <c r="D105" s="135" t="s">
        <v>229</v>
      </c>
      <c r="E105" s="135" t="s">
        <v>212</v>
      </c>
      <c r="F105" s="69"/>
      <c r="G105" s="69"/>
      <c r="H105" s="69"/>
      <c r="I105" s="99" t="s">
        <v>33</v>
      </c>
      <c r="J105" s="91">
        <v>175.6</v>
      </c>
      <c r="K105" s="91">
        <v>175.6</v>
      </c>
      <c r="L105" s="91">
        <v>171.3</v>
      </c>
      <c r="M105" s="91">
        <v>189.7</v>
      </c>
      <c r="N105" s="91">
        <v>196.8</v>
      </c>
      <c r="O105" s="91">
        <v>0</v>
      </c>
    </row>
    <row r="106" spans="1:21" s="114" customFormat="1" ht="45" customHeight="1" x14ac:dyDescent="0.25">
      <c r="A106" s="409"/>
      <c r="B106" s="357"/>
      <c r="C106" s="94" t="s">
        <v>230</v>
      </c>
      <c r="D106" s="94"/>
      <c r="E106" s="94" t="s">
        <v>231</v>
      </c>
      <c r="F106" s="111" t="s">
        <v>20</v>
      </c>
      <c r="G106" s="111" t="s">
        <v>146</v>
      </c>
      <c r="H106" s="111" t="s">
        <v>232</v>
      </c>
      <c r="I106" s="69" t="s">
        <v>33</v>
      </c>
      <c r="J106" s="126">
        <v>10.8</v>
      </c>
      <c r="K106" s="126">
        <v>10.8</v>
      </c>
      <c r="L106" s="126">
        <v>0</v>
      </c>
      <c r="M106" s="126">
        <v>50</v>
      </c>
      <c r="N106" s="126">
        <v>50</v>
      </c>
      <c r="O106" s="126">
        <v>0</v>
      </c>
    </row>
    <row r="107" spans="1:21" s="114" customFormat="1" ht="45" customHeight="1" x14ac:dyDescent="0.25">
      <c r="A107" s="414"/>
      <c r="B107" s="407"/>
      <c r="C107" s="70" t="s">
        <v>233</v>
      </c>
      <c r="D107" s="94" t="s">
        <v>234</v>
      </c>
      <c r="E107" s="20" t="s">
        <v>235</v>
      </c>
      <c r="F107" s="111" t="s">
        <v>20</v>
      </c>
      <c r="G107" s="111" t="s">
        <v>146</v>
      </c>
      <c r="H107" s="111" t="s">
        <v>236</v>
      </c>
      <c r="I107" s="111" t="s">
        <v>237</v>
      </c>
      <c r="J107" s="117">
        <v>3000</v>
      </c>
      <c r="K107" s="117">
        <v>3000</v>
      </c>
      <c r="L107" s="117">
        <v>3500</v>
      </c>
      <c r="M107" s="117">
        <v>4000</v>
      </c>
      <c r="N107" s="117">
        <v>3114</v>
      </c>
      <c r="O107" s="117">
        <v>3229.4</v>
      </c>
    </row>
    <row r="108" spans="1:21" s="109" customFormat="1" ht="45" customHeight="1" x14ac:dyDescent="0.25">
      <c r="A108" s="408">
        <v>902</v>
      </c>
      <c r="B108" s="356" t="s">
        <v>238</v>
      </c>
      <c r="C108" s="20" t="s">
        <v>239</v>
      </c>
      <c r="D108" s="216" t="s">
        <v>240</v>
      </c>
      <c r="E108" s="216" t="s">
        <v>241</v>
      </c>
      <c r="F108" s="99"/>
      <c r="G108" s="99"/>
      <c r="H108" s="99"/>
      <c r="I108" s="99"/>
      <c r="J108" s="72">
        <f t="shared" ref="J108:O108" si="31">J109+J110+J112</f>
        <v>1943.3</v>
      </c>
      <c r="K108" s="72">
        <f t="shared" si="31"/>
        <v>1943.3</v>
      </c>
      <c r="L108" s="72">
        <f t="shared" si="31"/>
        <v>2741.9</v>
      </c>
      <c r="M108" s="72">
        <f t="shared" si="31"/>
        <v>2871.8999999999996</v>
      </c>
      <c r="N108" s="72">
        <f t="shared" si="31"/>
        <v>2615.1000000000004</v>
      </c>
      <c r="O108" s="72">
        <f t="shared" si="31"/>
        <v>2702</v>
      </c>
    </row>
    <row r="109" spans="1:21" s="114" customFormat="1" ht="45" customHeight="1" x14ac:dyDescent="0.25">
      <c r="A109" s="409"/>
      <c r="B109" s="357"/>
      <c r="C109" s="136" t="s">
        <v>242</v>
      </c>
      <c r="D109" s="137"/>
      <c r="E109" s="137" t="s">
        <v>243</v>
      </c>
      <c r="F109" s="99" t="s">
        <v>73</v>
      </c>
      <c r="G109" s="99" t="s">
        <v>103</v>
      </c>
      <c r="H109" s="99" t="s">
        <v>244</v>
      </c>
      <c r="I109" s="99" t="s">
        <v>33</v>
      </c>
      <c r="J109" s="78">
        <v>243.3</v>
      </c>
      <c r="K109" s="78">
        <v>243.3</v>
      </c>
      <c r="L109" s="78">
        <v>253.1</v>
      </c>
      <c r="M109" s="78">
        <v>263.2</v>
      </c>
      <c r="N109" s="78">
        <v>273.2</v>
      </c>
      <c r="O109" s="78">
        <v>283.5</v>
      </c>
    </row>
    <row r="110" spans="1:21" s="114" customFormat="1" ht="45" customHeight="1" x14ac:dyDescent="0.25">
      <c r="A110" s="409"/>
      <c r="B110" s="357"/>
      <c r="C110" s="94" t="s">
        <v>245</v>
      </c>
      <c r="D110" s="135" t="s">
        <v>246</v>
      </c>
      <c r="E110" s="94" t="s">
        <v>247</v>
      </c>
      <c r="F110" s="69" t="s">
        <v>73</v>
      </c>
      <c r="G110" s="69" t="s">
        <v>137</v>
      </c>
      <c r="H110" s="69" t="s">
        <v>248</v>
      </c>
      <c r="I110" s="99"/>
      <c r="J110" s="72">
        <f>J111</f>
        <v>0</v>
      </c>
      <c r="K110" s="72">
        <f t="shared" ref="K110:O110" si="32">K111</f>
        <v>0</v>
      </c>
      <c r="L110" s="72">
        <f t="shared" si="32"/>
        <v>311.39999999999998</v>
      </c>
      <c r="M110" s="72">
        <f t="shared" si="32"/>
        <v>312</v>
      </c>
      <c r="N110" s="72">
        <f t="shared" si="32"/>
        <v>324</v>
      </c>
      <c r="O110" s="72">
        <f t="shared" si="32"/>
        <v>324</v>
      </c>
      <c r="P110" s="138"/>
      <c r="Q110" s="138"/>
      <c r="R110" s="138"/>
      <c r="S110" s="138"/>
      <c r="T110" s="138"/>
      <c r="U110" s="138"/>
    </row>
    <row r="111" spans="1:21" s="114" customFormat="1" ht="45" customHeight="1" x14ac:dyDescent="0.25">
      <c r="A111" s="409"/>
      <c r="B111" s="357"/>
      <c r="C111" s="27" t="s">
        <v>175</v>
      </c>
      <c r="D111" s="135" t="s">
        <v>249</v>
      </c>
      <c r="E111" s="135" t="s">
        <v>157</v>
      </c>
      <c r="F111" s="99"/>
      <c r="G111" s="99"/>
      <c r="H111" s="99"/>
      <c r="I111" s="99" t="s">
        <v>33</v>
      </c>
      <c r="J111" s="78">
        <v>0</v>
      </c>
      <c r="K111" s="78">
        <v>0</v>
      </c>
      <c r="L111" s="78">
        <v>311.39999999999998</v>
      </c>
      <c r="M111" s="78">
        <v>312</v>
      </c>
      <c r="N111" s="78">
        <v>324</v>
      </c>
      <c r="O111" s="78">
        <v>324</v>
      </c>
      <c r="P111" s="139"/>
    </row>
    <row r="112" spans="1:21" s="114" customFormat="1" ht="45" customHeight="1" x14ac:dyDescent="0.25">
      <c r="A112" s="409"/>
      <c r="B112" s="357"/>
      <c r="C112" s="102" t="s">
        <v>250</v>
      </c>
      <c r="D112" s="135"/>
      <c r="E112" s="70" t="s">
        <v>251</v>
      </c>
      <c r="F112" s="69" t="s">
        <v>20</v>
      </c>
      <c r="G112" s="69" t="s">
        <v>146</v>
      </c>
      <c r="H112" s="69" t="s">
        <v>252</v>
      </c>
      <c r="I112" s="69"/>
      <c r="J112" s="72">
        <f>J113</f>
        <v>1700</v>
      </c>
      <c r="K112" s="72">
        <f t="shared" ref="K112:O112" si="33">K113</f>
        <v>1700</v>
      </c>
      <c r="L112" s="72">
        <f t="shared" si="33"/>
        <v>2177.4</v>
      </c>
      <c r="M112" s="72">
        <f t="shared" si="33"/>
        <v>2296.6999999999998</v>
      </c>
      <c r="N112" s="72">
        <f t="shared" si="33"/>
        <v>2017.9</v>
      </c>
      <c r="O112" s="72">
        <f t="shared" si="33"/>
        <v>2094.5</v>
      </c>
      <c r="P112" s="139"/>
    </row>
    <row r="113" spans="1:16" s="114" customFormat="1" ht="45" customHeight="1" x14ac:dyDescent="0.25">
      <c r="A113" s="414"/>
      <c r="B113" s="407"/>
      <c r="C113" s="27" t="s">
        <v>253</v>
      </c>
      <c r="D113" s="135"/>
      <c r="E113" s="33" t="s">
        <v>157</v>
      </c>
      <c r="F113" s="99"/>
      <c r="G113" s="99"/>
      <c r="H113" s="99"/>
      <c r="I113" s="99" t="s">
        <v>237</v>
      </c>
      <c r="J113" s="78">
        <v>1700</v>
      </c>
      <c r="K113" s="78">
        <v>1700</v>
      </c>
      <c r="L113" s="78">
        <v>2177.4</v>
      </c>
      <c r="M113" s="78">
        <v>2296.6999999999998</v>
      </c>
      <c r="N113" s="78">
        <v>2017.9</v>
      </c>
      <c r="O113" s="78">
        <v>2094.5</v>
      </c>
      <c r="P113" s="139"/>
    </row>
    <row r="114" spans="1:16" s="68" customFormat="1" ht="45" customHeight="1" x14ac:dyDescent="0.25">
      <c r="A114" s="339">
        <v>902</v>
      </c>
      <c r="B114" s="356" t="s">
        <v>254</v>
      </c>
      <c r="C114" s="20" t="s">
        <v>255</v>
      </c>
      <c r="D114" s="20" t="s">
        <v>256</v>
      </c>
      <c r="E114" s="20" t="s">
        <v>257</v>
      </c>
      <c r="F114" s="69" t="s">
        <v>64</v>
      </c>
      <c r="G114" s="69" t="s">
        <v>73</v>
      </c>
      <c r="H114" s="69" t="s">
        <v>258</v>
      </c>
      <c r="I114" s="69"/>
      <c r="J114" s="126">
        <f t="shared" ref="J114:O114" si="34">J115</f>
        <v>200.3</v>
      </c>
      <c r="K114" s="126">
        <f t="shared" si="34"/>
        <v>187.5</v>
      </c>
      <c r="L114" s="126">
        <f t="shared" si="34"/>
        <v>336.84</v>
      </c>
      <c r="M114" s="126">
        <f t="shared" si="34"/>
        <v>580</v>
      </c>
      <c r="N114" s="126">
        <f t="shared" si="34"/>
        <v>873.4</v>
      </c>
      <c r="O114" s="126">
        <f t="shared" si="34"/>
        <v>332.2</v>
      </c>
    </row>
    <row r="115" spans="1:16" s="114" customFormat="1" ht="45" customHeight="1" x14ac:dyDescent="0.25">
      <c r="A115" s="382"/>
      <c r="B115" s="415"/>
      <c r="C115" s="27" t="s">
        <v>175</v>
      </c>
      <c r="D115" s="29" t="s">
        <v>259</v>
      </c>
      <c r="E115" s="33" t="s">
        <v>157</v>
      </c>
      <c r="F115" s="99"/>
      <c r="G115" s="99"/>
      <c r="H115" s="99"/>
      <c r="I115" s="99" t="s">
        <v>33</v>
      </c>
      <c r="J115" s="91">
        <v>200.3</v>
      </c>
      <c r="K115" s="91">
        <v>187.5</v>
      </c>
      <c r="L115" s="91">
        <v>336.84</v>
      </c>
      <c r="M115" s="91">
        <v>580</v>
      </c>
      <c r="N115" s="91">
        <v>873.4</v>
      </c>
      <c r="O115" s="91">
        <v>332.2</v>
      </c>
    </row>
    <row r="116" spans="1:16" s="109" customFormat="1" ht="45" customHeight="1" x14ac:dyDescent="0.25">
      <c r="A116" s="408">
        <v>902</v>
      </c>
      <c r="B116" s="356"/>
      <c r="C116" s="107" t="s">
        <v>260</v>
      </c>
      <c r="D116" s="70" t="s">
        <v>261</v>
      </c>
      <c r="E116" s="70" t="s">
        <v>192</v>
      </c>
      <c r="F116" s="69" t="s">
        <v>20</v>
      </c>
      <c r="G116" s="69" t="s">
        <v>146</v>
      </c>
      <c r="H116" s="69"/>
      <c r="I116" s="69"/>
      <c r="J116" s="72">
        <f>J117+J118</f>
        <v>2694.6</v>
      </c>
      <c r="K116" s="72">
        <f t="shared" ref="K116:O116" si="35">K117+K118</f>
        <v>2694.6</v>
      </c>
      <c r="L116" s="72">
        <f t="shared" si="35"/>
        <v>1622.9</v>
      </c>
      <c r="M116" s="72">
        <f t="shared" si="35"/>
        <v>314.3</v>
      </c>
      <c r="N116" s="72">
        <f t="shared" si="35"/>
        <v>1618</v>
      </c>
      <c r="O116" s="72">
        <f t="shared" si="35"/>
        <v>1618</v>
      </c>
    </row>
    <row r="117" spans="1:16" s="74" customFormat="1" ht="45" customHeight="1" x14ac:dyDescent="0.25">
      <c r="A117" s="414"/>
      <c r="B117" s="357"/>
      <c r="C117" s="140" t="s">
        <v>262</v>
      </c>
      <c r="D117" s="33" t="s">
        <v>105</v>
      </c>
      <c r="E117" s="33" t="s">
        <v>263</v>
      </c>
      <c r="F117" s="99" t="s">
        <v>20</v>
      </c>
      <c r="G117" s="99" t="s">
        <v>146</v>
      </c>
      <c r="H117" s="99" t="s">
        <v>264</v>
      </c>
      <c r="I117" s="99" t="s">
        <v>33</v>
      </c>
      <c r="J117" s="78">
        <v>0</v>
      </c>
      <c r="K117" s="78">
        <v>0</v>
      </c>
      <c r="L117" s="78">
        <v>0</v>
      </c>
      <c r="M117" s="78">
        <v>0</v>
      </c>
      <c r="N117" s="78">
        <v>0</v>
      </c>
      <c r="O117" s="78">
        <v>0</v>
      </c>
    </row>
    <row r="118" spans="1:16" s="74" customFormat="1" ht="45" customHeight="1" x14ac:dyDescent="0.25">
      <c r="A118" s="125"/>
      <c r="B118" s="407"/>
      <c r="C118" s="141" t="s">
        <v>265</v>
      </c>
      <c r="D118" s="33" t="s">
        <v>266</v>
      </c>
      <c r="E118" s="33" t="s">
        <v>267</v>
      </c>
      <c r="F118" s="99" t="s">
        <v>20</v>
      </c>
      <c r="G118" s="99" t="s">
        <v>146</v>
      </c>
      <c r="H118" s="99" t="s">
        <v>268</v>
      </c>
      <c r="I118" s="99" t="s">
        <v>33</v>
      </c>
      <c r="J118" s="78">
        <v>2694.6</v>
      </c>
      <c r="K118" s="78">
        <v>2694.6</v>
      </c>
      <c r="L118" s="78">
        <v>1622.9</v>
      </c>
      <c r="M118" s="78">
        <v>314.3</v>
      </c>
      <c r="N118" s="78">
        <v>1618</v>
      </c>
      <c r="O118" s="78">
        <v>1618</v>
      </c>
    </row>
    <row r="119" spans="1:16" s="109" customFormat="1" ht="45" customHeight="1" x14ac:dyDescent="0.25">
      <c r="A119" s="408">
        <v>902</v>
      </c>
      <c r="B119" s="356" t="s">
        <v>269</v>
      </c>
      <c r="C119" s="217" t="s">
        <v>270</v>
      </c>
      <c r="D119" s="70" t="s">
        <v>271</v>
      </c>
      <c r="E119" s="70" t="s">
        <v>272</v>
      </c>
      <c r="F119" s="71"/>
      <c r="G119" s="71"/>
      <c r="H119" s="71"/>
      <c r="I119" s="71"/>
      <c r="J119" s="72">
        <f>J120+J131+J139+J146+J152+J161</f>
        <v>112554.1</v>
      </c>
      <c r="K119" s="72">
        <f>K120+K131+K139+K146+K152+K161</f>
        <v>112465.8</v>
      </c>
      <c r="L119" s="72">
        <f>L120+L131+L139+L146+L152+L161</f>
        <v>124074.21</v>
      </c>
      <c r="M119" s="72">
        <f t="shared" ref="M119:O119" si="36">M120+M131+M139+M146+M152+M161</f>
        <v>132608.57999999999</v>
      </c>
      <c r="N119" s="72">
        <f t="shared" si="36"/>
        <v>136599.4</v>
      </c>
      <c r="O119" s="72">
        <f t="shared" si="36"/>
        <v>144113.9</v>
      </c>
    </row>
    <row r="120" spans="1:16" s="114" customFormat="1" ht="45" customHeight="1" x14ac:dyDescent="0.25">
      <c r="A120" s="409"/>
      <c r="B120" s="357"/>
      <c r="C120" s="20" t="s">
        <v>273</v>
      </c>
      <c r="D120" s="70" t="s">
        <v>105</v>
      </c>
      <c r="E120" s="70" t="s">
        <v>274</v>
      </c>
      <c r="F120" s="218" t="s">
        <v>20</v>
      </c>
      <c r="G120" s="218" t="s">
        <v>146</v>
      </c>
      <c r="H120" s="218" t="s">
        <v>275</v>
      </c>
      <c r="I120" s="218"/>
      <c r="J120" s="117">
        <f>J121+J122+J123+J124+J125+J126+J129+J130</f>
        <v>43952.5</v>
      </c>
      <c r="K120" s="117">
        <f>K121+K122+K123+K124+K125+K126+K129+K130</f>
        <v>43952.5</v>
      </c>
      <c r="L120" s="117">
        <f>SUM(L121:L130)</f>
        <v>52467.66</v>
      </c>
      <c r="M120" s="117">
        <f>SUM(M121:M130)</f>
        <v>53482.999999999985</v>
      </c>
      <c r="N120" s="117">
        <f t="shared" ref="N120:O120" si="37">SUM(N121:N130)</f>
        <v>52811.69999999999</v>
      </c>
      <c r="O120" s="117">
        <f t="shared" si="37"/>
        <v>60220.899999999987</v>
      </c>
      <c r="P120" s="139"/>
    </row>
    <row r="121" spans="1:16" s="114" customFormat="1" ht="45" customHeight="1" x14ac:dyDescent="0.25">
      <c r="A121" s="409"/>
      <c r="B121" s="357"/>
      <c r="C121" s="154" t="s">
        <v>276</v>
      </c>
      <c r="D121" s="33"/>
      <c r="E121" s="33" t="s">
        <v>277</v>
      </c>
      <c r="F121" s="76"/>
      <c r="G121" s="76"/>
      <c r="H121" s="76"/>
      <c r="I121" s="76" t="s">
        <v>278</v>
      </c>
      <c r="J121" s="78">
        <v>25565.4</v>
      </c>
      <c r="K121" s="78">
        <v>25565.4</v>
      </c>
      <c r="L121" s="78">
        <v>28517.84</v>
      </c>
      <c r="M121" s="78">
        <v>32397.9</v>
      </c>
      <c r="N121" s="78">
        <v>30498.5</v>
      </c>
      <c r="O121" s="78">
        <v>30498.5</v>
      </c>
      <c r="P121" s="142"/>
    </row>
    <row r="122" spans="1:16" s="114" customFormat="1" ht="45" customHeight="1" x14ac:dyDescent="0.25">
      <c r="A122" s="409"/>
      <c r="B122" s="357"/>
      <c r="C122" s="29" t="s">
        <v>126</v>
      </c>
      <c r="D122" s="31" t="s">
        <v>79</v>
      </c>
      <c r="E122" s="33" t="s">
        <v>108</v>
      </c>
      <c r="F122" s="76"/>
      <c r="G122" s="76"/>
      <c r="H122" s="76"/>
      <c r="I122" s="76" t="s">
        <v>279</v>
      </c>
      <c r="J122" s="78">
        <v>17.8</v>
      </c>
      <c r="K122" s="78">
        <v>17.8</v>
      </c>
      <c r="L122" s="78">
        <v>27</v>
      </c>
      <c r="M122" s="78">
        <v>21.6</v>
      </c>
      <c r="N122" s="78">
        <v>23</v>
      </c>
      <c r="O122" s="78">
        <v>24</v>
      </c>
    </row>
    <row r="123" spans="1:16" s="114" customFormat="1" ht="45" customHeight="1" x14ac:dyDescent="0.25">
      <c r="A123" s="409"/>
      <c r="B123" s="357"/>
      <c r="C123" s="24" t="s">
        <v>280</v>
      </c>
      <c r="D123" s="143"/>
      <c r="E123" s="144" t="s">
        <v>281</v>
      </c>
      <c r="F123" s="76"/>
      <c r="G123" s="76"/>
      <c r="H123" s="76"/>
      <c r="I123" s="76" t="s">
        <v>282</v>
      </c>
      <c r="J123" s="78">
        <v>6776.2</v>
      </c>
      <c r="K123" s="78">
        <v>6776.2</v>
      </c>
      <c r="L123" s="78">
        <v>7844.64</v>
      </c>
      <c r="M123" s="78">
        <v>9784.2000000000007</v>
      </c>
      <c r="N123" s="78">
        <v>9210.6</v>
      </c>
      <c r="O123" s="78">
        <v>9210.6</v>
      </c>
    </row>
    <row r="124" spans="1:16" s="114" customFormat="1" ht="45" customHeight="1" x14ac:dyDescent="0.25">
      <c r="A124" s="409"/>
      <c r="B124" s="357"/>
      <c r="C124" s="27" t="s">
        <v>283</v>
      </c>
      <c r="D124" s="33" t="s">
        <v>284</v>
      </c>
      <c r="E124" s="33" t="s">
        <v>167</v>
      </c>
      <c r="F124" s="76"/>
      <c r="G124" s="76"/>
      <c r="H124" s="76"/>
      <c r="I124" s="76" t="s">
        <v>33</v>
      </c>
      <c r="J124" s="78">
        <v>11497.1</v>
      </c>
      <c r="K124" s="78">
        <v>11497.1</v>
      </c>
      <c r="L124" s="78">
        <v>13821.14</v>
      </c>
      <c r="M124" s="78">
        <v>7983.2</v>
      </c>
      <c r="N124" s="78">
        <v>9675.6</v>
      </c>
      <c r="O124" s="78">
        <v>16971.599999999999</v>
      </c>
    </row>
    <row r="125" spans="1:16" s="114" customFormat="1" ht="45" customHeight="1" x14ac:dyDescent="0.25">
      <c r="A125" s="409"/>
      <c r="B125" s="357"/>
      <c r="C125" s="92" t="s">
        <v>285</v>
      </c>
      <c r="D125" s="33"/>
      <c r="E125" s="33"/>
      <c r="F125" s="76"/>
      <c r="G125" s="76"/>
      <c r="H125" s="76"/>
      <c r="I125" s="76" t="s">
        <v>96</v>
      </c>
      <c r="J125" s="78"/>
      <c r="K125" s="78"/>
      <c r="L125" s="78">
        <v>0</v>
      </c>
      <c r="M125" s="78"/>
      <c r="N125" s="78"/>
      <c r="O125" s="78"/>
    </row>
    <row r="126" spans="1:16" s="114" customFormat="1" ht="45" customHeight="1" x14ac:dyDescent="0.25">
      <c r="A126" s="409"/>
      <c r="B126" s="357"/>
      <c r="C126" s="92" t="s">
        <v>286</v>
      </c>
      <c r="D126" s="29" t="s">
        <v>34</v>
      </c>
      <c r="E126" s="99" t="s">
        <v>287</v>
      </c>
      <c r="F126" s="76"/>
      <c r="G126" s="76"/>
      <c r="H126" s="76"/>
      <c r="I126" s="76" t="s">
        <v>35</v>
      </c>
      <c r="J126" s="78"/>
      <c r="K126" s="78"/>
      <c r="L126" s="78">
        <v>0</v>
      </c>
      <c r="M126" s="78"/>
      <c r="N126" s="78"/>
      <c r="O126" s="78"/>
    </row>
    <row r="127" spans="1:16" s="114" customFormat="1" ht="45" customHeight="1" x14ac:dyDescent="0.25">
      <c r="A127" s="409"/>
      <c r="B127" s="357"/>
      <c r="C127" s="29" t="s">
        <v>288</v>
      </c>
      <c r="D127" s="29" t="s">
        <v>289</v>
      </c>
      <c r="E127" s="33" t="s">
        <v>167</v>
      </c>
      <c r="F127" s="76"/>
      <c r="G127" s="76"/>
      <c r="H127" s="76"/>
      <c r="I127" s="76" t="s">
        <v>93</v>
      </c>
      <c r="J127" s="78">
        <v>0</v>
      </c>
      <c r="K127" s="78">
        <v>0</v>
      </c>
      <c r="L127" s="78">
        <v>1776</v>
      </c>
      <c r="M127" s="78">
        <v>2696.1</v>
      </c>
      <c r="N127" s="78">
        <v>2804</v>
      </c>
      <c r="O127" s="78">
        <v>2916.2</v>
      </c>
    </row>
    <row r="128" spans="1:16" s="114" customFormat="1" ht="45" customHeight="1" x14ac:dyDescent="0.25">
      <c r="A128" s="409"/>
      <c r="B128" s="357"/>
      <c r="C128" s="33" t="s">
        <v>286</v>
      </c>
      <c r="D128" s="29" t="s">
        <v>36</v>
      </c>
      <c r="E128" s="33" t="s">
        <v>287</v>
      </c>
      <c r="F128" s="76"/>
      <c r="G128" s="76"/>
      <c r="H128" s="76"/>
      <c r="I128" s="76" t="s">
        <v>35</v>
      </c>
      <c r="J128" s="78">
        <v>0</v>
      </c>
      <c r="K128" s="78">
        <v>0</v>
      </c>
      <c r="L128" s="78">
        <v>385.74</v>
      </c>
      <c r="M128" s="78">
        <v>494.2</v>
      </c>
      <c r="N128" s="78">
        <v>494.2</v>
      </c>
      <c r="O128" s="78">
        <v>494.2</v>
      </c>
    </row>
    <row r="129" spans="1:16" s="114" customFormat="1" ht="45" customHeight="1" x14ac:dyDescent="0.25">
      <c r="A129" s="409"/>
      <c r="B129" s="357"/>
      <c r="C129" s="92" t="s">
        <v>286</v>
      </c>
      <c r="D129" s="29" t="s">
        <v>36</v>
      </c>
      <c r="E129" s="33" t="s">
        <v>287</v>
      </c>
      <c r="F129" s="76"/>
      <c r="G129" s="76"/>
      <c r="H129" s="76"/>
      <c r="I129" s="76" t="s">
        <v>37</v>
      </c>
      <c r="J129" s="78">
        <v>95.9</v>
      </c>
      <c r="K129" s="78">
        <v>95.9</v>
      </c>
      <c r="L129" s="78">
        <v>93</v>
      </c>
      <c r="M129" s="78">
        <v>103.2</v>
      </c>
      <c r="N129" s="78">
        <v>103.2</v>
      </c>
      <c r="O129" s="78">
        <v>103.2</v>
      </c>
    </row>
    <row r="130" spans="1:16" s="114" customFormat="1" ht="45" customHeight="1" x14ac:dyDescent="0.25">
      <c r="A130" s="409"/>
      <c r="B130" s="357"/>
      <c r="C130" s="27" t="s">
        <v>38</v>
      </c>
      <c r="D130" s="33" t="s">
        <v>39</v>
      </c>
      <c r="E130" s="33" t="s">
        <v>290</v>
      </c>
      <c r="F130" s="76"/>
      <c r="G130" s="76"/>
      <c r="H130" s="76"/>
      <c r="I130" s="76" t="s">
        <v>41</v>
      </c>
      <c r="J130" s="78">
        <v>0.1</v>
      </c>
      <c r="K130" s="78">
        <v>0.1</v>
      </c>
      <c r="L130" s="78">
        <v>2.2999999999999998</v>
      </c>
      <c r="M130" s="78">
        <v>2.6</v>
      </c>
      <c r="N130" s="78">
        <v>2.6</v>
      </c>
      <c r="O130" s="78">
        <v>2.6</v>
      </c>
    </row>
    <row r="131" spans="1:16" s="114" customFormat="1" ht="45" customHeight="1" x14ac:dyDescent="0.25">
      <c r="A131" s="409"/>
      <c r="B131" s="357"/>
      <c r="C131" s="212" t="s">
        <v>291</v>
      </c>
      <c r="D131" s="33"/>
      <c r="E131" s="70" t="s">
        <v>292</v>
      </c>
      <c r="F131" s="218" t="s">
        <v>20</v>
      </c>
      <c r="G131" s="218" t="s">
        <v>146</v>
      </c>
      <c r="H131" s="218" t="s">
        <v>293</v>
      </c>
      <c r="I131" s="218"/>
      <c r="J131" s="117">
        <f>J132+J133+J134+J135+J136+J137+J138</f>
        <v>5120.5999999999995</v>
      </c>
      <c r="K131" s="117">
        <f>K132+K133+K134+K135+K136+K137+K138</f>
        <v>5120.5999999999995</v>
      </c>
      <c r="L131" s="117">
        <f>L132+L133+L134+L135+L136+L137+L138</f>
        <v>5507.58</v>
      </c>
      <c r="M131" s="117">
        <f>M132+M133+M134+M135+M136+M137+M138</f>
        <v>5882.0000000000009</v>
      </c>
      <c r="N131" s="117">
        <f t="shared" ref="N131:O131" si="38">N132+N133+N134+N135+N136+N137+N138</f>
        <v>6168.0999999999995</v>
      </c>
      <c r="O131" s="117">
        <f t="shared" si="38"/>
        <v>6196.8</v>
      </c>
    </row>
    <row r="132" spans="1:16" s="114" customFormat="1" ht="45" customHeight="1" x14ac:dyDescent="0.25">
      <c r="A132" s="409"/>
      <c r="B132" s="357"/>
      <c r="C132" s="154" t="s">
        <v>294</v>
      </c>
      <c r="D132" s="33"/>
      <c r="E132" s="33" t="s">
        <v>295</v>
      </c>
      <c r="F132" s="76"/>
      <c r="G132" s="76"/>
      <c r="H132" s="76"/>
      <c r="I132" s="76" t="s">
        <v>278</v>
      </c>
      <c r="J132" s="78">
        <v>3348.1</v>
      </c>
      <c r="K132" s="78">
        <v>3348.1</v>
      </c>
      <c r="L132" s="78">
        <v>3646.44</v>
      </c>
      <c r="M132" s="78">
        <v>4092.5</v>
      </c>
      <c r="N132" s="78">
        <v>4214.3</v>
      </c>
      <c r="O132" s="78">
        <v>4214.3</v>
      </c>
    </row>
    <row r="133" spans="1:16" s="114" customFormat="1" ht="45" customHeight="1" x14ac:dyDescent="0.25">
      <c r="A133" s="409"/>
      <c r="B133" s="357"/>
      <c r="C133" s="29" t="s">
        <v>126</v>
      </c>
      <c r="D133" s="31" t="s">
        <v>79</v>
      </c>
      <c r="E133" s="33" t="s">
        <v>108</v>
      </c>
      <c r="F133" s="76"/>
      <c r="G133" s="76"/>
      <c r="H133" s="76"/>
      <c r="I133" s="76" t="s">
        <v>279</v>
      </c>
      <c r="J133" s="78">
        <v>0</v>
      </c>
      <c r="K133" s="78">
        <v>0</v>
      </c>
      <c r="L133" s="78">
        <v>0</v>
      </c>
      <c r="M133" s="78">
        <v>25.8</v>
      </c>
      <c r="N133" s="78">
        <v>26.9</v>
      </c>
      <c r="O133" s="78">
        <v>28.2</v>
      </c>
    </row>
    <row r="134" spans="1:16" s="114" customFormat="1" ht="45" customHeight="1" x14ac:dyDescent="0.25">
      <c r="A134" s="409"/>
      <c r="B134" s="357"/>
      <c r="C134" s="29" t="s">
        <v>296</v>
      </c>
      <c r="D134" s="82"/>
      <c r="E134" s="33" t="s">
        <v>297</v>
      </c>
      <c r="F134" s="76"/>
      <c r="G134" s="76"/>
      <c r="H134" s="76"/>
      <c r="I134" s="76" t="s">
        <v>282</v>
      </c>
      <c r="J134" s="78">
        <v>905.8</v>
      </c>
      <c r="K134" s="78">
        <v>905.8</v>
      </c>
      <c r="L134" s="78">
        <v>1004.2</v>
      </c>
      <c r="M134" s="78">
        <v>1235.9000000000001</v>
      </c>
      <c r="N134" s="78">
        <v>1272.7</v>
      </c>
      <c r="O134" s="78">
        <v>1272.7</v>
      </c>
    </row>
    <row r="135" spans="1:16" s="114" customFormat="1" ht="45" customHeight="1" x14ac:dyDescent="0.25">
      <c r="A135" s="409"/>
      <c r="B135" s="357"/>
      <c r="C135" s="27" t="s">
        <v>298</v>
      </c>
      <c r="D135" s="33" t="s">
        <v>299</v>
      </c>
      <c r="E135" s="33" t="s">
        <v>300</v>
      </c>
      <c r="F135" s="76"/>
      <c r="G135" s="76"/>
      <c r="H135" s="76"/>
      <c r="I135" s="76" t="s">
        <v>33</v>
      </c>
      <c r="J135" s="78">
        <v>843.7</v>
      </c>
      <c r="K135" s="78">
        <v>843.7</v>
      </c>
      <c r="L135" s="78">
        <v>829.94</v>
      </c>
      <c r="M135" s="78">
        <v>498.3</v>
      </c>
      <c r="N135" s="78">
        <v>624.70000000000005</v>
      </c>
      <c r="O135" s="78">
        <v>652.1</v>
      </c>
    </row>
    <row r="136" spans="1:16" s="114" customFormat="1" ht="45" customHeight="1" x14ac:dyDescent="0.25">
      <c r="A136" s="409"/>
      <c r="B136" s="357"/>
      <c r="C136" s="92" t="s">
        <v>286</v>
      </c>
      <c r="D136" s="29" t="s">
        <v>34</v>
      </c>
      <c r="E136" s="33" t="s">
        <v>287</v>
      </c>
      <c r="F136" s="76"/>
      <c r="G136" s="76"/>
      <c r="H136" s="76"/>
      <c r="I136" s="76" t="s">
        <v>35</v>
      </c>
      <c r="J136" s="78">
        <v>0</v>
      </c>
      <c r="K136" s="78">
        <v>0</v>
      </c>
      <c r="L136" s="78">
        <v>0</v>
      </c>
      <c r="M136" s="78">
        <v>0</v>
      </c>
      <c r="N136" s="78">
        <v>0</v>
      </c>
      <c r="O136" s="78">
        <v>0</v>
      </c>
    </row>
    <row r="137" spans="1:16" s="114" customFormat="1" ht="45" customHeight="1" x14ac:dyDescent="0.25">
      <c r="A137" s="409"/>
      <c r="B137" s="357"/>
      <c r="C137" s="92" t="s">
        <v>301</v>
      </c>
      <c r="D137" s="29" t="s">
        <v>36</v>
      </c>
      <c r="E137" s="30" t="s">
        <v>47</v>
      </c>
      <c r="F137" s="76"/>
      <c r="G137" s="76"/>
      <c r="H137" s="76"/>
      <c r="I137" s="76" t="s">
        <v>37</v>
      </c>
      <c r="J137" s="78">
        <v>0.5</v>
      </c>
      <c r="K137" s="78">
        <v>0.5</v>
      </c>
      <c r="L137" s="78">
        <v>9</v>
      </c>
      <c r="M137" s="78">
        <v>7</v>
      </c>
      <c r="N137" s="78">
        <v>7</v>
      </c>
      <c r="O137" s="78">
        <v>7</v>
      </c>
    </row>
    <row r="138" spans="1:16" s="114" customFormat="1" ht="45" customHeight="1" x14ac:dyDescent="0.25">
      <c r="A138" s="409"/>
      <c r="B138" s="357"/>
      <c r="C138" s="92" t="s">
        <v>38</v>
      </c>
      <c r="D138" s="29" t="s">
        <v>39</v>
      </c>
      <c r="E138" s="33" t="s">
        <v>302</v>
      </c>
      <c r="F138" s="76"/>
      <c r="G138" s="76"/>
      <c r="H138" s="76"/>
      <c r="I138" s="76" t="s">
        <v>41</v>
      </c>
      <c r="J138" s="78">
        <v>22.5</v>
      </c>
      <c r="K138" s="78">
        <v>22.5</v>
      </c>
      <c r="L138" s="78">
        <v>18</v>
      </c>
      <c r="M138" s="78">
        <v>22.5</v>
      </c>
      <c r="N138" s="78">
        <v>22.5</v>
      </c>
      <c r="O138" s="78">
        <v>22.5</v>
      </c>
    </row>
    <row r="139" spans="1:16" s="114" customFormat="1" ht="45" customHeight="1" x14ac:dyDescent="0.25">
      <c r="A139" s="409"/>
      <c r="B139" s="357"/>
      <c r="C139" s="212" t="s">
        <v>303</v>
      </c>
      <c r="D139" s="29"/>
      <c r="E139" s="70" t="s">
        <v>304</v>
      </c>
      <c r="F139" s="218" t="s">
        <v>20</v>
      </c>
      <c r="G139" s="218" t="s">
        <v>146</v>
      </c>
      <c r="H139" s="218" t="s">
        <v>305</v>
      </c>
      <c r="I139" s="218"/>
      <c r="J139" s="117">
        <f t="shared" ref="J139:N139" si="39">J140+J141+J142+J143+J144+J145</f>
        <v>3338.3999999999996</v>
      </c>
      <c r="K139" s="117">
        <f t="shared" si="39"/>
        <v>3338.3999999999996</v>
      </c>
      <c r="L139" s="117">
        <f t="shared" si="39"/>
        <v>3346.96</v>
      </c>
      <c r="M139" s="117">
        <f t="shared" si="39"/>
        <v>3553.7</v>
      </c>
      <c r="N139" s="117">
        <f t="shared" si="39"/>
        <v>3714.8</v>
      </c>
      <c r="O139" s="117">
        <f>O140+O141+O142+O143+O144+O145</f>
        <v>3727.1</v>
      </c>
      <c r="P139" s="129"/>
    </row>
    <row r="140" spans="1:16" s="114" customFormat="1" ht="45" customHeight="1" x14ac:dyDescent="0.25">
      <c r="A140" s="409"/>
      <c r="B140" s="357"/>
      <c r="C140" s="154" t="s">
        <v>306</v>
      </c>
      <c r="D140" s="29"/>
      <c r="E140" s="33" t="s">
        <v>307</v>
      </c>
      <c r="F140" s="76"/>
      <c r="G140" s="76"/>
      <c r="H140" s="76"/>
      <c r="I140" s="76" t="s">
        <v>278</v>
      </c>
      <c r="J140" s="78">
        <v>2367.1</v>
      </c>
      <c r="K140" s="78">
        <v>2367.1</v>
      </c>
      <c r="L140" s="78">
        <v>2441.1999999999998</v>
      </c>
      <c r="M140" s="78">
        <v>2562.6999999999998</v>
      </c>
      <c r="N140" s="78">
        <v>2638.9</v>
      </c>
      <c r="O140" s="78">
        <v>2638.9</v>
      </c>
    </row>
    <row r="141" spans="1:16" s="114" customFormat="1" ht="45" customHeight="1" x14ac:dyDescent="0.25">
      <c r="A141" s="409"/>
      <c r="B141" s="357"/>
      <c r="C141" s="92" t="s">
        <v>308</v>
      </c>
      <c r="D141" s="29"/>
      <c r="E141" s="33" t="s">
        <v>309</v>
      </c>
      <c r="F141" s="76"/>
      <c r="G141" s="76"/>
      <c r="H141" s="76"/>
      <c r="I141" s="76" t="s">
        <v>282</v>
      </c>
      <c r="J141" s="78">
        <v>637.29999999999995</v>
      </c>
      <c r="K141" s="78">
        <v>637.29999999999995</v>
      </c>
      <c r="L141" s="78">
        <v>669.8</v>
      </c>
      <c r="M141" s="78">
        <v>774</v>
      </c>
      <c r="N141" s="78">
        <v>797</v>
      </c>
      <c r="O141" s="78">
        <v>797</v>
      </c>
    </row>
    <row r="142" spans="1:16" s="114" customFormat="1" ht="45" customHeight="1" x14ac:dyDescent="0.25">
      <c r="A142" s="409"/>
      <c r="B142" s="357"/>
      <c r="C142" s="29" t="s">
        <v>126</v>
      </c>
      <c r="D142" s="31" t="s">
        <v>79</v>
      </c>
      <c r="E142" s="33" t="s">
        <v>108</v>
      </c>
      <c r="F142" s="76"/>
      <c r="G142" s="76"/>
      <c r="H142" s="76"/>
      <c r="I142" s="76" t="s">
        <v>279</v>
      </c>
      <c r="J142" s="78">
        <v>0</v>
      </c>
      <c r="K142" s="78">
        <v>0</v>
      </c>
      <c r="L142" s="78">
        <v>0</v>
      </c>
      <c r="M142" s="78">
        <v>14</v>
      </c>
      <c r="N142" s="78">
        <v>14.8</v>
      </c>
      <c r="O142" s="78">
        <v>15.5</v>
      </c>
    </row>
    <row r="143" spans="1:16" s="114" customFormat="1" ht="45" customHeight="1" x14ac:dyDescent="0.25">
      <c r="A143" s="409"/>
      <c r="B143" s="357"/>
      <c r="C143" s="29" t="s">
        <v>298</v>
      </c>
      <c r="D143" s="29" t="s">
        <v>310</v>
      </c>
      <c r="E143" s="33" t="s">
        <v>300</v>
      </c>
      <c r="F143" s="76"/>
      <c r="G143" s="76"/>
      <c r="H143" s="76"/>
      <c r="I143" s="76" t="s">
        <v>33</v>
      </c>
      <c r="J143" s="78">
        <v>334</v>
      </c>
      <c r="K143" s="78">
        <v>334</v>
      </c>
      <c r="L143" s="78">
        <v>235.9</v>
      </c>
      <c r="M143" s="78">
        <v>203</v>
      </c>
      <c r="N143" s="78">
        <v>264.10000000000002</v>
      </c>
      <c r="O143" s="78">
        <v>275.7</v>
      </c>
    </row>
    <row r="144" spans="1:16" s="114" customFormat="1" ht="45" customHeight="1" x14ac:dyDescent="0.25">
      <c r="A144" s="409"/>
      <c r="B144" s="357"/>
      <c r="C144" s="29" t="s">
        <v>311</v>
      </c>
      <c r="D144" s="29" t="s">
        <v>34</v>
      </c>
      <c r="E144" s="33" t="s">
        <v>287</v>
      </c>
      <c r="F144" s="76"/>
      <c r="G144" s="76"/>
      <c r="H144" s="76"/>
      <c r="I144" s="76" t="s">
        <v>35</v>
      </c>
      <c r="J144" s="78">
        <v>0</v>
      </c>
      <c r="K144" s="78">
        <v>0</v>
      </c>
      <c r="L144" s="78">
        <v>0</v>
      </c>
      <c r="M144" s="78">
        <v>0</v>
      </c>
      <c r="N144" s="78">
        <v>0</v>
      </c>
      <c r="O144" s="78">
        <v>0</v>
      </c>
    </row>
    <row r="145" spans="1:22" s="114" customFormat="1" ht="45" customHeight="1" x14ac:dyDescent="0.25">
      <c r="A145" s="409"/>
      <c r="B145" s="357"/>
      <c r="C145" s="29" t="s">
        <v>312</v>
      </c>
      <c r="D145" s="29" t="s">
        <v>39</v>
      </c>
      <c r="E145" s="33" t="s">
        <v>302</v>
      </c>
      <c r="F145" s="76"/>
      <c r="G145" s="76"/>
      <c r="H145" s="76"/>
      <c r="I145" s="76" t="s">
        <v>41</v>
      </c>
      <c r="J145" s="78">
        <v>0</v>
      </c>
      <c r="K145" s="78">
        <v>0</v>
      </c>
      <c r="L145" s="78">
        <v>0.06</v>
      </c>
      <c r="M145" s="78">
        <v>0</v>
      </c>
      <c r="N145" s="78">
        <v>0</v>
      </c>
      <c r="O145" s="78">
        <v>0</v>
      </c>
    </row>
    <row r="146" spans="1:22" s="146" customFormat="1" ht="45" customHeight="1" x14ac:dyDescent="0.25">
      <c r="A146" s="409"/>
      <c r="B146" s="357"/>
      <c r="C146" s="219" t="s">
        <v>313</v>
      </c>
      <c r="D146" s="20"/>
      <c r="E146" s="70" t="s">
        <v>314</v>
      </c>
      <c r="F146" s="218" t="s">
        <v>20</v>
      </c>
      <c r="G146" s="218" t="s">
        <v>146</v>
      </c>
      <c r="H146" s="218" t="s">
        <v>315</v>
      </c>
      <c r="I146" s="218"/>
      <c r="J146" s="117">
        <f>J147+J148+J149+J150+J151</f>
        <v>10026.9</v>
      </c>
      <c r="K146" s="117">
        <f t="shared" ref="K146:O146" si="40">K147+K148+K149+K150+K151</f>
        <v>10026.9</v>
      </c>
      <c r="L146" s="117">
        <f t="shared" si="40"/>
        <v>12031.21</v>
      </c>
      <c r="M146" s="117">
        <f t="shared" si="40"/>
        <v>12082.300000000001</v>
      </c>
      <c r="N146" s="117">
        <f t="shared" si="40"/>
        <v>12499.199999999999</v>
      </c>
      <c r="O146" s="117">
        <f t="shared" si="40"/>
        <v>12560</v>
      </c>
      <c r="P146" s="145"/>
    </row>
    <row r="147" spans="1:22" s="146" customFormat="1" ht="45" customHeight="1" x14ac:dyDescent="0.25">
      <c r="A147" s="409"/>
      <c r="B147" s="357"/>
      <c r="C147" s="92" t="s">
        <v>316</v>
      </c>
      <c r="D147" s="20"/>
      <c r="E147" s="33" t="s">
        <v>317</v>
      </c>
      <c r="F147" s="71"/>
      <c r="G147" s="71"/>
      <c r="H147" s="71"/>
      <c r="I147" s="76" t="s">
        <v>278</v>
      </c>
      <c r="J147" s="78">
        <v>7109</v>
      </c>
      <c r="K147" s="78">
        <v>7109</v>
      </c>
      <c r="L147" s="78">
        <v>7933.15</v>
      </c>
      <c r="M147" s="78">
        <v>8513.7000000000007</v>
      </c>
      <c r="N147" s="78">
        <v>8530.9</v>
      </c>
      <c r="O147" s="78">
        <v>8530.9</v>
      </c>
    </row>
    <row r="148" spans="1:22" s="146" customFormat="1" ht="45" customHeight="1" x14ac:dyDescent="0.25">
      <c r="A148" s="409"/>
      <c r="B148" s="357"/>
      <c r="C148" s="92" t="s">
        <v>318</v>
      </c>
      <c r="D148" s="31" t="s">
        <v>79</v>
      </c>
      <c r="E148" s="33" t="s">
        <v>108</v>
      </c>
      <c r="F148" s="71"/>
      <c r="G148" s="71"/>
      <c r="H148" s="71"/>
      <c r="I148" s="76" t="s">
        <v>279</v>
      </c>
      <c r="J148" s="78">
        <v>0</v>
      </c>
      <c r="K148" s="78">
        <v>0</v>
      </c>
      <c r="L148" s="78">
        <v>0</v>
      </c>
      <c r="M148" s="78">
        <v>5.6</v>
      </c>
      <c r="N148" s="78">
        <v>5.8</v>
      </c>
      <c r="O148" s="78">
        <v>6.1</v>
      </c>
    </row>
    <row r="149" spans="1:22" s="146" customFormat="1" ht="45" customHeight="1" x14ac:dyDescent="0.25">
      <c r="A149" s="409"/>
      <c r="B149" s="357"/>
      <c r="C149" s="29" t="s">
        <v>319</v>
      </c>
      <c r="D149" s="82"/>
      <c r="E149" s="33" t="s">
        <v>297</v>
      </c>
      <c r="F149" s="76"/>
      <c r="G149" s="76"/>
      <c r="H149" s="76"/>
      <c r="I149" s="76" t="s">
        <v>282</v>
      </c>
      <c r="J149" s="78">
        <v>1894.4</v>
      </c>
      <c r="K149" s="78">
        <v>1894.4</v>
      </c>
      <c r="L149" s="78">
        <v>2195</v>
      </c>
      <c r="M149" s="78">
        <v>2601.1</v>
      </c>
      <c r="N149" s="78">
        <v>2576.4</v>
      </c>
      <c r="O149" s="78">
        <v>2576.4</v>
      </c>
    </row>
    <row r="150" spans="1:22" s="146" customFormat="1" ht="45" customHeight="1" x14ac:dyDescent="0.25">
      <c r="A150" s="409"/>
      <c r="B150" s="357"/>
      <c r="C150" s="29" t="s">
        <v>298</v>
      </c>
      <c r="D150" s="29" t="s">
        <v>310</v>
      </c>
      <c r="E150" s="33" t="s">
        <v>300</v>
      </c>
      <c r="F150" s="76"/>
      <c r="G150" s="76"/>
      <c r="H150" s="76"/>
      <c r="I150" s="76" t="s">
        <v>33</v>
      </c>
      <c r="J150" s="78">
        <v>1023.5</v>
      </c>
      <c r="K150" s="78">
        <v>1023.5</v>
      </c>
      <c r="L150" s="78">
        <v>1903</v>
      </c>
      <c r="M150" s="78">
        <v>951.9</v>
      </c>
      <c r="N150" s="78">
        <v>1376.1</v>
      </c>
      <c r="O150" s="78">
        <v>1436.6</v>
      </c>
    </row>
    <row r="151" spans="1:22" s="146" customFormat="1" ht="45" customHeight="1" x14ac:dyDescent="0.25">
      <c r="A151" s="409"/>
      <c r="B151" s="357"/>
      <c r="C151" s="29" t="s">
        <v>312</v>
      </c>
      <c r="D151" s="29" t="s">
        <v>39</v>
      </c>
      <c r="E151" s="33" t="s">
        <v>302</v>
      </c>
      <c r="F151" s="76"/>
      <c r="G151" s="76"/>
      <c r="H151" s="76"/>
      <c r="I151" s="76" t="s">
        <v>41</v>
      </c>
      <c r="J151" s="78">
        <v>0</v>
      </c>
      <c r="K151" s="78">
        <v>0</v>
      </c>
      <c r="L151" s="78">
        <v>0.06</v>
      </c>
      <c r="M151" s="78">
        <v>10</v>
      </c>
      <c r="N151" s="78">
        <v>10</v>
      </c>
      <c r="O151" s="78">
        <v>10</v>
      </c>
    </row>
    <row r="152" spans="1:22" s="146" customFormat="1" ht="45" customHeight="1" x14ac:dyDescent="0.25">
      <c r="A152" s="409"/>
      <c r="B152" s="357"/>
      <c r="C152" s="70" t="s">
        <v>320</v>
      </c>
      <c r="D152" s="20"/>
      <c r="E152" s="70" t="s">
        <v>321</v>
      </c>
      <c r="F152" s="218" t="s">
        <v>20</v>
      </c>
      <c r="G152" s="218" t="s">
        <v>146</v>
      </c>
      <c r="H152" s="218" t="s">
        <v>322</v>
      </c>
      <c r="I152" s="76"/>
      <c r="J152" s="117">
        <f>J153+J154+J155+J156+J157+J158+J159+J160</f>
        <v>35097.1</v>
      </c>
      <c r="K152" s="117">
        <f t="shared" ref="K152:O152" si="41">K153+K154+K155+K156+K157+K158+K159+K160</f>
        <v>35012.6</v>
      </c>
      <c r="L152" s="117">
        <f t="shared" si="41"/>
        <v>38653.1</v>
      </c>
      <c r="M152" s="117">
        <f t="shared" si="41"/>
        <v>42023.199999999997</v>
      </c>
      <c r="N152" s="117">
        <f t="shared" si="41"/>
        <v>43627.5</v>
      </c>
      <c r="O152" s="117">
        <f t="shared" si="41"/>
        <v>43779.500000000007</v>
      </c>
      <c r="P152" s="147"/>
      <c r="Q152" s="148"/>
      <c r="R152" s="148"/>
      <c r="S152" s="148"/>
      <c r="T152" s="148"/>
      <c r="U152" s="148"/>
      <c r="V152" s="148"/>
    </row>
    <row r="153" spans="1:22" s="146" customFormat="1" ht="45" customHeight="1" x14ac:dyDescent="0.25">
      <c r="A153" s="409"/>
      <c r="B153" s="357"/>
      <c r="C153" s="27" t="s">
        <v>323</v>
      </c>
      <c r="D153" s="29"/>
      <c r="E153" s="33" t="s">
        <v>324</v>
      </c>
      <c r="F153" s="76"/>
      <c r="G153" s="76"/>
      <c r="H153" s="76"/>
      <c r="I153" s="76" t="s">
        <v>278</v>
      </c>
      <c r="J153" s="78">
        <v>25352.55</v>
      </c>
      <c r="K153" s="78">
        <v>25352.6</v>
      </c>
      <c r="L153" s="78">
        <v>27722.2</v>
      </c>
      <c r="M153" s="78">
        <v>29897</v>
      </c>
      <c r="N153" s="78">
        <v>30786.7</v>
      </c>
      <c r="O153" s="78">
        <v>30786.7</v>
      </c>
      <c r="Q153" s="148"/>
      <c r="R153" s="148"/>
    </row>
    <row r="154" spans="1:22" s="146" customFormat="1" ht="45" customHeight="1" x14ac:dyDescent="0.25">
      <c r="A154" s="409"/>
      <c r="B154" s="357"/>
      <c r="C154" s="29" t="s">
        <v>325</v>
      </c>
      <c r="D154" s="31" t="s">
        <v>79</v>
      </c>
      <c r="E154" s="33" t="s">
        <v>108</v>
      </c>
      <c r="F154" s="220"/>
      <c r="G154" s="76"/>
      <c r="H154" s="76"/>
      <c r="I154" s="76" t="s">
        <v>279</v>
      </c>
      <c r="J154" s="78">
        <v>0.4</v>
      </c>
      <c r="K154" s="78">
        <v>0.4</v>
      </c>
      <c r="L154" s="78">
        <v>0</v>
      </c>
      <c r="M154" s="78">
        <v>0</v>
      </c>
      <c r="N154" s="78">
        <v>0</v>
      </c>
      <c r="O154" s="78">
        <v>0</v>
      </c>
    </row>
    <row r="155" spans="1:22" s="146" customFormat="1" ht="45" customHeight="1" x14ac:dyDescent="0.25">
      <c r="A155" s="409"/>
      <c r="B155" s="357"/>
      <c r="C155" s="29" t="s">
        <v>326</v>
      </c>
      <c r="D155" s="82"/>
      <c r="E155" s="33" t="s">
        <v>297</v>
      </c>
      <c r="F155" s="220"/>
      <c r="G155" s="76"/>
      <c r="H155" s="76"/>
      <c r="I155" s="76" t="s">
        <v>282</v>
      </c>
      <c r="J155" s="78">
        <v>6909.55</v>
      </c>
      <c r="K155" s="78">
        <v>6909.6</v>
      </c>
      <c r="L155" s="78">
        <v>8190.9</v>
      </c>
      <c r="M155" s="78">
        <v>9028.7999999999993</v>
      </c>
      <c r="N155" s="78">
        <v>9297.6</v>
      </c>
      <c r="O155" s="78">
        <v>9297.6</v>
      </c>
    </row>
    <row r="156" spans="1:22" s="146" customFormat="1" ht="45" customHeight="1" x14ac:dyDescent="0.25">
      <c r="A156" s="409"/>
      <c r="B156" s="357"/>
      <c r="C156" s="27" t="s">
        <v>327</v>
      </c>
      <c r="D156" s="153" t="s">
        <v>328</v>
      </c>
      <c r="E156" s="132" t="s">
        <v>329</v>
      </c>
      <c r="F156" s="220"/>
      <c r="G156" s="76"/>
      <c r="H156" s="76"/>
      <c r="I156" s="76" t="s">
        <v>33</v>
      </c>
      <c r="J156" s="78">
        <v>2227.4</v>
      </c>
      <c r="K156" s="78">
        <v>2187.9</v>
      </c>
      <c r="L156" s="78">
        <v>2253.1999999999998</v>
      </c>
      <c r="M156" s="78">
        <v>2236.1999999999998</v>
      </c>
      <c r="N156" s="78">
        <v>2647.7</v>
      </c>
      <c r="O156" s="78">
        <v>2763.8</v>
      </c>
    </row>
    <row r="157" spans="1:22" s="146" customFormat="1" ht="45" customHeight="1" x14ac:dyDescent="0.25">
      <c r="A157" s="409"/>
      <c r="B157" s="357"/>
      <c r="C157" s="150" t="s">
        <v>330</v>
      </c>
      <c r="D157" s="153"/>
      <c r="E157" s="132" t="s">
        <v>331</v>
      </c>
      <c r="F157" s="220"/>
      <c r="G157" s="76"/>
      <c r="H157" s="76"/>
      <c r="I157" s="76" t="s">
        <v>93</v>
      </c>
      <c r="J157" s="78">
        <v>607</v>
      </c>
      <c r="K157" s="78">
        <v>561.9</v>
      </c>
      <c r="L157" s="78">
        <v>486.3</v>
      </c>
      <c r="M157" s="78">
        <v>861.2</v>
      </c>
      <c r="N157" s="78">
        <v>895.5</v>
      </c>
      <c r="O157" s="78">
        <v>931.4</v>
      </c>
    </row>
    <row r="158" spans="1:22" s="146" customFormat="1" ht="45" customHeight="1" x14ac:dyDescent="0.25">
      <c r="A158" s="409"/>
      <c r="B158" s="357"/>
      <c r="C158" s="33" t="s">
        <v>311</v>
      </c>
      <c r="D158" s="29" t="s">
        <v>34</v>
      </c>
      <c r="E158" s="33" t="s">
        <v>332</v>
      </c>
      <c r="F158" s="220"/>
      <c r="G158" s="76"/>
      <c r="H158" s="76"/>
      <c r="I158" s="76" t="s">
        <v>35</v>
      </c>
      <c r="J158" s="78">
        <v>0</v>
      </c>
      <c r="K158" s="78">
        <v>0</v>
      </c>
      <c r="L158" s="78">
        <v>0</v>
      </c>
      <c r="M158" s="78">
        <v>0</v>
      </c>
      <c r="N158" s="78">
        <v>0</v>
      </c>
      <c r="O158" s="78">
        <v>0</v>
      </c>
    </row>
    <row r="159" spans="1:22" s="146" customFormat="1" ht="45" customHeight="1" x14ac:dyDescent="0.25">
      <c r="A159" s="409"/>
      <c r="B159" s="357"/>
      <c r="C159" s="92" t="s">
        <v>301</v>
      </c>
      <c r="D159" s="29" t="s">
        <v>36</v>
      </c>
      <c r="E159" s="33" t="s">
        <v>332</v>
      </c>
      <c r="F159" s="220"/>
      <c r="G159" s="76"/>
      <c r="H159" s="76"/>
      <c r="I159" s="76" t="s">
        <v>37</v>
      </c>
      <c r="J159" s="78">
        <v>0</v>
      </c>
      <c r="K159" s="78">
        <v>0</v>
      </c>
      <c r="L159" s="78">
        <v>0</v>
      </c>
      <c r="M159" s="78">
        <v>0</v>
      </c>
      <c r="N159" s="78">
        <v>0</v>
      </c>
      <c r="O159" s="78">
        <v>0</v>
      </c>
    </row>
    <row r="160" spans="1:22" s="146" customFormat="1" ht="45" customHeight="1" x14ac:dyDescent="0.25">
      <c r="A160" s="409"/>
      <c r="B160" s="357"/>
      <c r="C160" s="29" t="s">
        <v>39</v>
      </c>
      <c r="D160" s="29" t="s">
        <v>39</v>
      </c>
      <c r="E160" s="33" t="s">
        <v>333</v>
      </c>
      <c r="F160" s="220"/>
      <c r="G160" s="76"/>
      <c r="H160" s="76"/>
      <c r="I160" s="76" t="s">
        <v>41</v>
      </c>
      <c r="J160" s="78">
        <v>0.2</v>
      </c>
      <c r="K160" s="78">
        <v>0.2</v>
      </c>
      <c r="L160" s="78">
        <v>0.5</v>
      </c>
      <c r="M160" s="78">
        <v>0</v>
      </c>
      <c r="N160" s="78">
        <v>0</v>
      </c>
      <c r="O160" s="78">
        <v>0</v>
      </c>
    </row>
    <row r="161" spans="1:15" s="114" customFormat="1" ht="45" customHeight="1" x14ac:dyDescent="0.25">
      <c r="A161" s="409"/>
      <c r="B161" s="357"/>
      <c r="C161" s="201" t="s">
        <v>334</v>
      </c>
      <c r="D161" s="176" t="s">
        <v>335</v>
      </c>
      <c r="E161" s="221" t="s">
        <v>336</v>
      </c>
      <c r="F161" s="222" t="s">
        <v>73</v>
      </c>
      <c r="G161" s="111" t="s">
        <v>103</v>
      </c>
      <c r="H161" s="111" t="s">
        <v>337</v>
      </c>
      <c r="I161" s="111"/>
      <c r="J161" s="117">
        <f>J162+J163+J164+J165+J166+J167+J168+J169+J170</f>
        <v>15018.6</v>
      </c>
      <c r="K161" s="117">
        <f>K162+K163+K164+K165+K166+K167+K168+K169+K170</f>
        <v>15014.8</v>
      </c>
      <c r="L161" s="117">
        <f>L162+L163+L164+L165+L166+L167+L168+L169+L170</f>
        <v>12067.7</v>
      </c>
      <c r="M161" s="117">
        <f t="shared" ref="M161:O161" si="42">M162+M163+M164+M165+M166+M167+M168+M169+M170</f>
        <v>15584.380000000001</v>
      </c>
      <c r="N161" s="117">
        <f t="shared" si="42"/>
        <v>17778.099999999999</v>
      </c>
      <c r="O161" s="117">
        <f t="shared" si="42"/>
        <v>17629.599999999999</v>
      </c>
    </row>
    <row r="162" spans="1:15" s="114" customFormat="1" ht="45" customHeight="1" x14ac:dyDescent="0.25">
      <c r="A162" s="409"/>
      <c r="B162" s="357"/>
      <c r="C162" s="33" t="s">
        <v>338</v>
      </c>
      <c r="D162" s="143"/>
      <c r="E162" s="144" t="s">
        <v>339</v>
      </c>
      <c r="F162" s="149"/>
      <c r="G162" s="99"/>
      <c r="H162" s="99"/>
      <c r="I162" s="99" t="s">
        <v>278</v>
      </c>
      <c r="J162" s="78">
        <v>6449.8</v>
      </c>
      <c r="K162" s="78">
        <v>6449.8</v>
      </c>
      <c r="L162" s="78">
        <v>7400</v>
      </c>
      <c r="M162" s="78">
        <v>8813.2000000000007</v>
      </c>
      <c r="N162" s="78">
        <v>9075.5</v>
      </c>
      <c r="O162" s="78">
        <v>9075.5</v>
      </c>
    </row>
    <row r="163" spans="1:15" s="114" customFormat="1" ht="45" customHeight="1" x14ac:dyDescent="0.25">
      <c r="A163" s="409"/>
      <c r="B163" s="357"/>
      <c r="C163" s="27" t="s">
        <v>340</v>
      </c>
      <c r="D163" s="143"/>
      <c r="E163" s="144" t="s">
        <v>309</v>
      </c>
      <c r="F163" s="149"/>
      <c r="G163" s="99"/>
      <c r="H163" s="99"/>
      <c r="I163" s="99" t="s">
        <v>282</v>
      </c>
      <c r="J163" s="78">
        <v>1734.4</v>
      </c>
      <c r="K163" s="78">
        <v>1734.4</v>
      </c>
      <c r="L163" s="78">
        <v>2024.9</v>
      </c>
      <c r="M163" s="78">
        <v>2661.64</v>
      </c>
      <c r="N163" s="78">
        <v>2740.8</v>
      </c>
      <c r="O163" s="78">
        <v>2740.8</v>
      </c>
    </row>
    <row r="164" spans="1:15" s="114" customFormat="1" ht="45" customHeight="1" x14ac:dyDescent="0.25">
      <c r="A164" s="409"/>
      <c r="B164" s="357"/>
      <c r="C164" s="29" t="s">
        <v>341</v>
      </c>
      <c r="D164" s="31" t="s">
        <v>79</v>
      </c>
      <c r="E164" s="33" t="s">
        <v>108</v>
      </c>
      <c r="F164" s="149"/>
      <c r="G164" s="99"/>
      <c r="H164" s="99"/>
      <c r="I164" s="99" t="s">
        <v>279</v>
      </c>
      <c r="J164" s="78">
        <v>0</v>
      </c>
      <c r="K164" s="78">
        <v>0</v>
      </c>
      <c r="L164" s="78">
        <v>0</v>
      </c>
      <c r="M164" s="78">
        <v>4.7</v>
      </c>
      <c r="N164" s="78">
        <v>4.8</v>
      </c>
      <c r="O164" s="78">
        <v>5</v>
      </c>
    </row>
    <row r="165" spans="1:15" s="114" customFormat="1" ht="45" customHeight="1" x14ac:dyDescent="0.25">
      <c r="A165" s="409"/>
      <c r="B165" s="357"/>
      <c r="C165" s="29" t="s">
        <v>342</v>
      </c>
      <c r="D165" s="143"/>
      <c r="E165" s="144" t="s">
        <v>343</v>
      </c>
      <c r="F165" s="149"/>
      <c r="G165" s="99"/>
      <c r="H165" s="99"/>
      <c r="I165" s="99" t="s">
        <v>43</v>
      </c>
      <c r="J165" s="78">
        <v>4697.8</v>
      </c>
      <c r="K165" s="78">
        <v>4697.8</v>
      </c>
      <c r="L165" s="78">
        <v>871.6</v>
      </c>
      <c r="M165" s="78">
        <v>1057.3</v>
      </c>
      <c r="N165" s="78">
        <v>2300</v>
      </c>
      <c r="O165" s="78">
        <v>2000</v>
      </c>
    </row>
    <row r="166" spans="1:15" s="114" customFormat="1" ht="45" customHeight="1" x14ac:dyDescent="0.25">
      <c r="A166" s="409"/>
      <c r="B166" s="357"/>
      <c r="C166" s="27" t="s">
        <v>344</v>
      </c>
      <c r="D166" s="144" t="s">
        <v>345</v>
      </c>
      <c r="E166" s="144" t="s">
        <v>343</v>
      </c>
      <c r="F166" s="149"/>
      <c r="G166" s="99"/>
      <c r="H166" s="99"/>
      <c r="I166" s="99" t="s">
        <v>33</v>
      </c>
      <c r="J166" s="78">
        <v>1754.9</v>
      </c>
      <c r="K166" s="78">
        <v>1753.3</v>
      </c>
      <c r="L166" s="78">
        <v>1400.2</v>
      </c>
      <c r="M166" s="78">
        <v>2630.9</v>
      </c>
      <c r="N166" s="78">
        <v>3161</v>
      </c>
      <c r="O166" s="78">
        <v>3298.1</v>
      </c>
    </row>
    <row r="167" spans="1:15" s="114" customFormat="1" ht="45" customHeight="1" x14ac:dyDescent="0.25">
      <c r="A167" s="409"/>
      <c r="B167" s="357"/>
      <c r="C167" s="27" t="s">
        <v>346</v>
      </c>
      <c r="D167" s="144" t="s">
        <v>347</v>
      </c>
      <c r="E167" s="144" t="s">
        <v>343</v>
      </c>
      <c r="F167" s="149"/>
      <c r="G167" s="99"/>
      <c r="H167" s="99"/>
      <c r="I167" s="99" t="s">
        <v>93</v>
      </c>
      <c r="J167" s="78">
        <v>179.6</v>
      </c>
      <c r="K167" s="78">
        <v>177.4</v>
      </c>
      <c r="L167" s="78">
        <v>183.5</v>
      </c>
      <c r="M167" s="78">
        <v>223.54</v>
      </c>
      <c r="N167" s="78">
        <v>302.8</v>
      </c>
      <c r="O167" s="78">
        <v>317</v>
      </c>
    </row>
    <row r="168" spans="1:15" s="114" customFormat="1" ht="45" customHeight="1" x14ac:dyDescent="0.25">
      <c r="A168" s="409"/>
      <c r="B168" s="357"/>
      <c r="C168" s="92" t="s">
        <v>311</v>
      </c>
      <c r="D168" s="29" t="s">
        <v>34</v>
      </c>
      <c r="E168" s="33" t="s">
        <v>348</v>
      </c>
      <c r="F168" s="149"/>
      <c r="G168" s="99"/>
      <c r="H168" s="99"/>
      <c r="I168" s="99" t="s">
        <v>35</v>
      </c>
      <c r="J168" s="91">
        <v>47.1</v>
      </c>
      <c r="K168" s="91">
        <v>47.1</v>
      </c>
      <c r="L168" s="91">
        <v>51.2</v>
      </c>
      <c r="M168" s="91">
        <v>51.2</v>
      </c>
      <c r="N168" s="91">
        <v>51.2</v>
      </c>
      <c r="O168" s="91">
        <v>51.2</v>
      </c>
    </row>
    <row r="169" spans="1:15" s="114" customFormat="1" ht="45" customHeight="1" x14ac:dyDescent="0.25">
      <c r="A169" s="409"/>
      <c r="B169" s="357"/>
      <c r="C169" s="92" t="s">
        <v>311</v>
      </c>
      <c r="D169" s="29" t="s">
        <v>36</v>
      </c>
      <c r="E169" s="33" t="s">
        <v>348</v>
      </c>
      <c r="F169" s="149"/>
      <c r="G169" s="99"/>
      <c r="H169" s="99"/>
      <c r="I169" s="99" t="s">
        <v>37</v>
      </c>
      <c r="J169" s="91">
        <v>23</v>
      </c>
      <c r="K169" s="91">
        <v>23</v>
      </c>
      <c r="L169" s="91">
        <v>4</v>
      </c>
      <c r="M169" s="91">
        <v>9.6</v>
      </c>
      <c r="N169" s="91">
        <v>10</v>
      </c>
      <c r="O169" s="91">
        <v>10</v>
      </c>
    </row>
    <row r="170" spans="1:15" s="114" customFormat="1" ht="45" customHeight="1" x14ac:dyDescent="0.25">
      <c r="A170" s="414"/>
      <c r="B170" s="407"/>
      <c r="C170" s="150" t="s">
        <v>349</v>
      </c>
      <c r="D170" s="29" t="s">
        <v>39</v>
      </c>
      <c r="E170" s="33" t="s">
        <v>350</v>
      </c>
      <c r="F170" s="149"/>
      <c r="G170" s="99"/>
      <c r="H170" s="99"/>
      <c r="I170" s="99" t="s">
        <v>41</v>
      </c>
      <c r="J170" s="91">
        <v>132</v>
      </c>
      <c r="K170" s="91">
        <v>132</v>
      </c>
      <c r="L170" s="91">
        <v>132.30000000000001</v>
      </c>
      <c r="M170" s="91">
        <v>132.30000000000001</v>
      </c>
      <c r="N170" s="91">
        <v>132</v>
      </c>
      <c r="O170" s="91">
        <v>132</v>
      </c>
    </row>
    <row r="171" spans="1:15" s="109" customFormat="1" ht="45" customHeight="1" x14ac:dyDescent="0.25">
      <c r="A171" s="356">
        <v>902</v>
      </c>
      <c r="B171" s="417" t="s">
        <v>351</v>
      </c>
      <c r="C171" s="20" t="s">
        <v>352</v>
      </c>
      <c r="D171" s="70" t="s">
        <v>353</v>
      </c>
      <c r="E171" s="70" t="s">
        <v>354</v>
      </c>
      <c r="F171" s="71" t="s">
        <v>103</v>
      </c>
      <c r="G171" s="71" t="s">
        <v>73</v>
      </c>
      <c r="H171" s="71" t="s">
        <v>355</v>
      </c>
      <c r="I171" s="69"/>
      <c r="J171" s="126">
        <f t="shared" ref="J171:K171" si="43">J172+J173</f>
        <v>0</v>
      </c>
      <c r="K171" s="126">
        <f t="shared" si="43"/>
        <v>0</v>
      </c>
      <c r="L171" s="126">
        <f>L172+L173</f>
        <v>0</v>
      </c>
      <c r="M171" s="126">
        <f t="shared" ref="M171:O171" si="44">M172</f>
        <v>0</v>
      </c>
      <c r="N171" s="126">
        <f t="shared" si="44"/>
        <v>0</v>
      </c>
      <c r="O171" s="126">
        <f t="shared" si="44"/>
        <v>0</v>
      </c>
    </row>
    <row r="172" spans="1:15" s="114" customFormat="1" ht="45" customHeight="1" x14ac:dyDescent="0.25">
      <c r="A172" s="357"/>
      <c r="B172" s="418"/>
      <c r="C172" s="27" t="s">
        <v>344</v>
      </c>
      <c r="D172" s="151" t="s">
        <v>105</v>
      </c>
      <c r="E172" s="152"/>
      <c r="F172" s="83"/>
      <c r="G172" s="83"/>
      <c r="H172" s="83"/>
      <c r="I172" s="76" t="s">
        <v>33</v>
      </c>
      <c r="J172" s="91">
        <v>0</v>
      </c>
      <c r="K172" s="91">
        <v>0</v>
      </c>
      <c r="L172" s="91">
        <v>0</v>
      </c>
      <c r="M172" s="91">
        <v>0</v>
      </c>
      <c r="N172" s="91">
        <v>0</v>
      </c>
      <c r="O172" s="91">
        <v>0</v>
      </c>
    </row>
    <row r="173" spans="1:15" s="114" customFormat="1" ht="45" customHeight="1" x14ac:dyDescent="0.25">
      <c r="A173" s="407"/>
      <c r="B173" s="418"/>
      <c r="C173" s="29" t="s">
        <v>311</v>
      </c>
      <c r="D173" s="29" t="s">
        <v>36</v>
      </c>
      <c r="E173" s="152"/>
      <c r="F173" s="83"/>
      <c r="G173" s="83"/>
      <c r="H173" s="83"/>
      <c r="I173" s="76" t="s">
        <v>37</v>
      </c>
      <c r="J173" s="91">
        <v>0</v>
      </c>
      <c r="K173" s="91">
        <v>0</v>
      </c>
      <c r="L173" s="91">
        <v>0</v>
      </c>
      <c r="M173" s="91">
        <v>0</v>
      </c>
      <c r="N173" s="91">
        <v>0</v>
      </c>
      <c r="O173" s="91">
        <v>0</v>
      </c>
    </row>
    <row r="174" spans="1:15" s="114" customFormat="1" ht="45" customHeight="1" x14ac:dyDescent="0.25">
      <c r="A174" s="171"/>
      <c r="B174" s="419"/>
      <c r="C174" s="167" t="s">
        <v>356</v>
      </c>
      <c r="D174" s="70" t="s">
        <v>353</v>
      </c>
      <c r="E174" s="70" t="s">
        <v>357</v>
      </c>
      <c r="F174" s="71" t="s">
        <v>103</v>
      </c>
      <c r="G174" s="71" t="s">
        <v>73</v>
      </c>
      <c r="H174" s="71" t="s">
        <v>358</v>
      </c>
      <c r="I174" s="71" t="s">
        <v>33</v>
      </c>
      <c r="J174" s="72">
        <v>4468.2</v>
      </c>
      <c r="K174" s="72">
        <v>4468.2</v>
      </c>
      <c r="L174" s="72">
        <v>3315.5</v>
      </c>
      <c r="M174" s="72">
        <v>4890</v>
      </c>
      <c r="N174" s="72">
        <v>5348</v>
      </c>
      <c r="O174" s="72">
        <v>5551.2</v>
      </c>
    </row>
    <row r="175" spans="1:15" s="109" customFormat="1" ht="45" customHeight="1" x14ac:dyDescent="0.25">
      <c r="A175" s="356">
        <v>902</v>
      </c>
      <c r="B175" s="356" t="s">
        <v>359</v>
      </c>
      <c r="C175" s="20" t="s">
        <v>360</v>
      </c>
      <c r="D175" s="20" t="s">
        <v>361</v>
      </c>
      <c r="E175" s="70" t="s">
        <v>362</v>
      </c>
      <c r="F175" s="69" t="s">
        <v>20</v>
      </c>
      <c r="G175" s="69" t="s">
        <v>114</v>
      </c>
      <c r="H175" s="69" t="s">
        <v>363</v>
      </c>
      <c r="I175" s="69"/>
      <c r="J175" s="72">
        <f t="shared" ref="J175:O175" si="45">J176</f>
        <v>0</v>
      </c>
      <c r="K175" s="72">
        <f t="shared" si="45"/>
        <v>0</v>
      </c>
      <c r="L175" s="72">
        <f t="shared" si="45"/>
        <v>0</v>
      </c>
      <c r="M175" s="72">
        <f t="shared" si="45"/>
        <v>0</v>
      </c>
      <c r="N175" s="72">
        <f t="shared" si="45"/>
        <v>0</v>
      </c>
      <c r="O175" s="72">
        <f t="shared" si="45"/>
        <v>0</v>
      </c>
    </row>
    <row r="176" spans="1:15" s="114" customFormat="1" ht="45" customHeight="1" x14ac:dyDescent="0.25">
      <c r="A176" s="407"/>
      <c r="B176" s="416"/>
      <c r="C176" s="153" t="s">
        <v>364</v>
      </c>
      <c r="D176" s="29"/>
      <c r="E176" s="33" t="s">
        <v>365</v>
      </c>
      <c r="F176" s="99"/>
      <c r="G176" s="99"/>
      <c r="H176" s="99"/>
      <c r="I176" s="99" t="s">
        <v>366</v>
      </c>
      <c r="J176" s="78">
        <v>0</v>
      </c>
      <c r="K176" s="78">
        <v>0</v>
      </c>
      <c r="L176" s="78">
        <v>0</v>
      </c>
      <c r="M176" s="78">
        <v>0</v>
      </c>
      <c r="N176" s="78">
        <v>0</v>
      </c>
      <c r="O176" s="78">
        <v>0</v>
      </c>
    </row>
    <row r="177" spans="1:27" s="68" customFormat="1" ht="45" customHeight="1" x14ac:dyDescent="0.25">
      <c r="A177" s="356">
        <v>902</v>
      </c>
      <c r="B177" s="356" t="s">
        <v>367</v>
      </c>
      <c r="C177" s="70" t="s">
        <v>368</v>
      </c>
      <c r="D177" s="70" t="s">
        <v>369</v>
      </c>
      <c r="E177" s="70" t="s">
        <v>370</v>
      </c>
      <c r="F177" s="69" t="s">
        <v>20</v>
      </c>
      <c r="G177" s="69" t="s">
        <v>136</v>
      </c>
      <c r="H177" s="69" t="s">
        <v>371</v>
      </c>
      <c r="I177" s="69" t="s">
        <v>372</v>
      </c>
      <c r="J177" s="72">
        <f>SUM(J178:J180)</f>
        <v>0</v>
      </c>
      <c r="K177" s="72">
        <f t="shared" ref="K177:O177" si="46">SUM(K178:K180)</f>
        <v>0</v>
      </c>
      <c r="L177" s="72">
        <f t="shared" si="46"/>
        <v>0</v>
      </c>
      <c r="M177" s="72">
        <f t="shared" si="46"/>
        <v>2000</v>
      </c>
      <c r="N177" s="72">
        <f t="shared" si="46"/>
        <v>2000</v>
      </c>
      <c r="O177" s="72">
        <f t="shared" si="46"/>
        <v>2000</v>
      </c>
    </row>
    <row r="178" spans="1:27" s="68" customFormat="1" ht="45" customHeight="1" x14ac:dyDescent="0.25">
      <c r="A178" s="357"/>
      <c r="B178" s="357"/>
      <c r="C178" s="33" t="s">
        <v>373</v>
      </c>
      <c r="D178" s="33"/>
      <c r="E178" s="144" t="s">
        <v>343</v>
      </c>
      <c r="F178" s="99" t="s">
        <v>20</v>
      </c>
      <c r="G178" s="99" t="s">
        <v>136</v>
      </c>
      <c r="H178" s="99" t="s">
        <v>371</v>
      </c>
      <c r="I178" s="99" t="s">
        <v>372</v>
      </c>
      <c r="J178" s="78">
        <v>0</v>
      </c>
      <c r="K178" s="78">
        <v>0</v>
      </c>
      <c r="L178" s="78">
        <v>0</v>
      </c>
      <c r="M178" s="78">
        <v>2000</v>
      </c>
      <c r="N178" s="78">
        <v>2000</v>
      </c>
      <c r="O178" s="78">
        <v>2000</v>
      </c>
    </row>
    <row r="179" spans="1:27" s="68" customFormat="1" ht="45" customHeight="1" x14ac:dyDescent="0.25">
      <c r="A179" s="357"/>
      <c r="B179" s="357"/>
      <c r="C179" s="27" t="s">
        <v>344</v>
      </c>
      <c r="D179" s="33"/>
      <c r="E179" s="144"/>
      <c r="F179" s="99" t="s">
        <v>21</v>
      </c>
      <c r="G179" s="99" t="s">
        <v>220</v>
      </c>
      <c r="H179" s="99" t="s">
        <v>371</v>
      </c>
      <c r="I179" s="99" t="s">
        <v>33</v>
      </c>
      <c r="J179" s="78">
        <v>0</v>
      </c>
      <c r="K179" s="78">
        <v>0</v>
      </c>
      <c r="L179" s="78">
        <v>0</v>
      </c>
      <c r="M179" s="78">
        <v>0</v>
      </c>
      <c r="N179" s="78">
        <v>0</v>
      </c>
      <c r="O179" s="78">
        <v>0</v>
      </c>
    </row>
    <row r="180" spans="1:27" s="114" customFormat="1" ht="45" customHeight="1" x14ac:dyDescent="0.25">
      <c r="A180" s="407"/>
      <c r="B180" s="416"/>
      <c r="C180" s="33"/>
      <c r="D180" s="33"/>
      <c r="E180" s="33"/>
      <c r="F180" s="99" t="s">
        <v>220</v>
      </c>
      <c r="G180" s="99" t="s">
        <v>21</v>
      </c>
      <c r="H180" s="99" t="s">
        <v>371</v>
      </c>
      <c r="I180" s="99" t="s">
        <v>374</v>
      </c>
      <c r="J180" s="78">
        <v>0</v>
      </c>
      <c r="K180" s="78">
        <v>0</v>
      </c>
      <c r="L180" s="78">
        <v>0</v>
      </c>
      <c r="M180" s="78">
        <v>0</v>
      </c>
      <c r="N180" s="78">
        <v>0</v>
      </c>
      <c r="O180" s="78">
        <v>0</v>
      </c>
    </row>
    <row r="181" spans="1:27" s="68" customFormat="1" ht="45" customHeight="1" x14ac:dyDescent="0.25">
      <c r="A181" s="356">
        <v>902</v>
      </c>
      <c r="B181" s="356" t="s">
        <v>375</v>
      </c>
      <c r="C181" s="70" t="s">
        <v>376</v>
      </c>
      <c r="D181" s="70" t="s">
        <v>377</v>
      </c>
      <c r="E181" s="70" t="s">
        <v>378</v>
      </c>
      <c r="F181" s="69" t="s">
        <v>146</v>
      </c>
      <c r="G181" s="69" t="s">
        <v>20</v>
      </c>
      <c r="H181" s="69"/>
      <c r="I181" s="69"/>
      <c r="J181" s="72">
        <f>SUM(J182:J183)</f>
        <v>4657.1000000000004</v>
      </c>
      <c r="K181" s="72">
        <f t="shared" ref="K181:O181" si="47">SUM(K182:K183)</f>
        <v>4657.1000000000004</v>
      </c>
      <c r="L181" s="72">
        <f t="shared" si="47"/>
        <v>884.5</v>
      </c>
      <c r="M181" s="72">
        <f t="shared" si="47"/>
        <v>208</v>
      </c>
      <c r="N181" s="72">
        <f t="shared" si="47"/>
        <v>208</v>
      </c>
      <c r="O181" s="72">
        <f t="shared" si="47"/>
        <v>0</v>
      </c>
    </row>
    <row r="182" spans="1:27" s="74" customFormat="1" ht="45" customHeight="1" x14ac:dyDescent="0.25">
      <c r="A182" s="407"/>
      <c r="B182" s="357"/>
      <c r="C182" s="154" t="s">
        <v>379</v>
      </c>
      <c r="D182" s="33" t="s">
        <v>380</v>
      </c>
      <c r="E182" s="33" t="s">
        <v>381</v>
      </c>
      <c r="F182" s="99"/>
      <c r="G182" s="99"/>
      <c r="H182" s="99" t="s">
        <v>382</v>
      </c>
      <c r="I182" s="99" t="s">
        <v>383</v>
      </c>
      <c r="J182" s="78">
        <v>4657.1000000000004</v>
      </c>
      <c r="K182" s="78">
        <v>4657.1000000000004</v>
      </c>
      <c r="L182" s="78">
        <v>884.5</v>
      </c>
      <c r="M182" s="78">
        <v>0</v>
      </c>
      <c r="N182" s="78">
        <v>0</v>
      </c>
      <c r="O182" s="78">
        <v>0</v>
      </c>
      <c r="P182" s="155"/>
    </row>
    <row r="183" spans="1:27" s="114" customFormat="1" ht="45" customHeight="1" x14ac:dyDescent="0.25">
      <c r="A183" s="223"/>
      <c r="B183" s="407"/>
      <c r="C183" s="154" t="s">
        <v>384</v>
      </c>
      <c r="D183" s="33"/>
      <c r="E183" s="33" t="s">
        <v>95</v>
      </c>
      <c r="F183" s="99"/>
      <c r="G183" s="99"/>
      <c r="H183" s="99" t="s">
        <v>385</v>
      </c>
      <c r="I183" s="99" t="s">
        <v>383</v>
      </c>
      <c r="J183" s="78">
        <v>0</v>
      </c>
      <c r="K183" s="78">
        <v>0</v>
      </c>
      <c r="L183" s="78">
        <v>0</v>
      </c>
      <c r="M183" s="78">
        <v>208</v>
      </c>
      <c r="N183" s="78">
        <v>208</v>
      </c>
      <c r="O183" s="78">
        <v>0</v>
      </c>
      <c r="P183" s="129"/>
    </row>
    <row r="184" spans="1:27" s="158" customFormat="1" ht="45" customHeight="1" x14ac:dyDescent="0.25">
      <c r="A184" s="356">
        <v>902</v>
      </c>
      <c r="B184" s="224" t="s">
        <v>386</v>
      </c>
      <c r="C184" s="225" t="s">
        <v>387</v>
      </c>
      <c r="D184" s="69" t="s">
        <v>388</v>
      </c>
      <c r="E184" s="20" t="s">
        <v>389</v>
      </c>
      <c r="F184" s="168" t="s">
        <v>220</v>
      </c>
      <c r="G184" s="168" t="s">
        <v>73</v>
      </c>
      <c r="H184" s="168"/>
      <c r="I184" s="168"/>
      <c r="J184" s="169">
        <f>J185+J186+J187+J188</f>
        <v>11767</v>
      </c>
      <c r="K184" s="169">
        <f t="shared" ref="K184:O184" si="48">K185+K186+K187+K188</f>
        <v>11766.9</v>
      </c>
      <c r="L184" s="169">
        <f t="shared" si="48"/>
        <v>10421.799999999999</v>
      </c>
      <c r="M184" s="169">
        <f t="shared" si="48"/>
        <v>23069.1</v>
      </c>
      <c r="N184" s="169">
        <f t="shared" si="48"/>
        <v>15409.3</v>
      </c>
      <c r="O184" s="169">
        <f t="shared" si="48"/>
        <v>16834.599999999999</v>
      </c>
      <c r="P184" s="156"/>
      <c r="Q184" s="156"/>
      <c r="R184" s="156"/>
      <c r="S184" s="156"/>
      <c r="T184" s="156"/>
      <c r="U184" s="156"/>
      <c r="V184" s="156"/>
      <c r="W184" s="156"/>
      <c r="X184" s="157"/>
      <c r="Y184" s="157"/>
      <c r="Z184" s="157"/>
      <c r="AA184" s="157"/>
    </row>
    <row r="185" spans="1:27" s="158" customFormat="1" ht="45" customHeight="1" x14ac:dyDescent="0.25">
      <c r="A185" s="357"/>
      <c r="B185" s="424" t="s">
        <v>390</v>
      </c>
      <c r="C185" s="159" t="s">
        <v>391</v>
      </c>
      <c r="D185" s="29" t="s">
        <v>392</v>
      </c>
      <c r="E185" s="29" t="s">
        <v>393</v>
      </c>
      <c r="F185" s="31" t="s">
        <v>220</v>
      </c>
      <c r="G185" s="31" t="s">
        <v>73</v>
      </c>
      <c r="H185" s="31" t="s">
        <v>394</v>
      </c>
      <c r="I185" s="31" t="s">
        <v>395</v>
      </c>
      <c r="J185" s="160">
        <v>206.4</v>
      </c>
      <c r="K185" s="160">
        <v>206.4</v>
      </c>
      <c r="L185" s="160">
        <v>0</v>
      </c>
      <c r="M185" s="160">
        <v>361.9</v>
      </c>
      <c r="N185" s="160">
        <v>0</v>
      </c>
      <c r="O185" s="160">
        <v>0</v>
      </c>
      <c r="P185" s="161"/>
    </row>
    <row r="186" spans="1:27" s="158" customFormat="1" ht="45" customHeight="1" x14ac:dyDescent="0.25">
      <c r="A186" s="357"/>
      <c r="B186" s="425"/>
      <c r="C186" s="162" t="s">
        <v>396</v>
      </c>
      <c r="D186" s="29" t="s">
        <v>397</v>
      </c>
      <c r="E186" s="29" t="s">
        <v>398</v>
      </c>
      <c r="F186" s="83" t="s">
        <v>220</v>
      </c>
      <c r="G186" s="83" t="s">
        <v>73</v>
      </c>
      <c r="H186" s="83" t="s">
        <v>399</v>
      </c>
      <c r="I186" s="83" t="s">
        <v>395</v>
      </c>
      <c r="J186" s="163">
        <v>6011.6</v>
      </c>
      <c r="K186" s="163">
        <v>6011.5</v>
      </c>
      <c r="L186" s="163">
        <v>5419.4</v>
      </c>
      <c r="M186" s="163">
        <v>15391.5</v>
      </c>
      <c r="N186" s="163">
        <v>9553.7999999999993</v>
      </c>
      <c r="O186" s="163">
        <v>10437.5</v>
      </c>
      <c r="P186" s="161"/>
    </row>
    <row r="187" spans="1:27" s="158" customFormat="1" ht="45" customHeight="1" x14ac:dyDescent="0.25">
      <c r="A187" s="407"/>
      <c r="B187" s="425"/>
      <c r="C187" s="33" t="s">
        <v>400</v>
      </c>
      <c r="D187" s="29" t="s">
        <v>397</v>
      </c>
      <c r="E187" s="29" t="s">
        <v>401</v>
      </c>
      <c r="F187" s="83" t="s">
        <v>220</v>
      </c>
      <c r="G187" s="83" t="s">
        <v>73</v>
      </c>
      <c r="H187" s="83" t="s">
        <v>399</v>
      </c>
      <c r="I187" s="83" t="s">
        <v>395</v>
      </c>
      <c r="J187" s="163">
        <v>5549</v>
      </c>
      <c r="K187" s="163">
        <v>5549</v>
      </c>
      <c r="L187" s="163">
        <v>5002.3999999999996</v>
      </c>
      <c r="M187" s="163">
        <v>7315.7</v>
      </c>
      <c r="N187" s="163">
        <v>5855.5</v>
      </c>
      <c r="O187" s="163">
        <v>6397.1</v>
      </c>
      <c r="P187" s="161"/>
    </row>
    <row r="188" spans="1:27" s="158" customFormat="1" ht="45" customHeight="1" x14ac:dyDescent="0.25">
      <c r="A188" s="164"/>
      <c r="B188" s="426"/>
      <c r="C188" s="33"/>
      <c r="D188" s="29"/>
      <c r="E188" s="84"/>
      <c r="F188" s="83" t="s">
        <v>220</v>
      </c>
      <c r="G188" s="83" t="s">
        <v>73</v>
      </c>
      <c r="H188" s="83" t="s">
        <v>399</v>
      </c>
      <c r="I188" s="83" t="s">
        <v>395</v>
      </c>
      <c r="J188" s="163">
        <v>0</v>
      </c>
      <c r="K188" s="163">
        <v>0</v>
      </c>
      <c r="L188" s="163">
        <v>0</v>
      </c>
      <c r="M188" s="163">
        <v>0</v>
      </c>
      <c r="N188" s="163">
        <v>0</v>
      </c>
      <c r="O188" s="163"/>
      <c r="P188" s="165"/>
    </row>
    <row r="189" spans="1:27" s="158" customFormat="1" ht="45" customHeight="1" x14ac:dyDescent="0.25">
      <c r="A189" s="164">
        <v>902</v>
      </c>
      <c r="B189" s="226" t="s">
        <v>402</v>
      </c>
      <c r="C189" s="70" t="s">
        <v>403</v>
      </c>
      <c r="D189" s="20" t="s">
        <v>404</v>
      </c>
      <c r="E189" s="20" t="s">
        <v>405</v>
      </c>
      <c r="F189" s="168" t="s">
        <v>21</v>
      </c>
      <c r="G189" s="168" t="s">
        <v>406</v>
      </c>
      <c r="H189" s="168" t="s">
        <v>407</v>
      </c>
      <c r="I189" s="168" t="s">
        <v>33</v>
      </c>
      <c r="J189" s="169">
        <v>9</v>
      </c>
      <c r="K189" s="169">
        <v>9</v>
      </c>
      <c r="L189" s="169">
        <v>1.5</v>
      </c>
      <c r="M189" s="169">
        <v>56.2</v>
      </c>
      <c r="N189" s="169">
        <v>58.3</v>
      </c>
      <c r="O189" s="169">
        <v>60.5</v>
      </c>
      <c r="R189" s="156"/>
    </row>
    <row r="190" spans="1:27" s="158" customFormat="1" ht="45" customHeight="1" x14ac:dyDescent="0.25">
      <c r="A190" s="164">
        <v>902</v>
      </c>
      <c r="B190" s="356" t="s">
        <v>408</v>
      </c>
      <c r="C190" s="167" t="s">
        <v>409</v>
      </c>
      <c r="D190" s="20" t="s">
        <v>410</v>
      </c>
      <c r="E190" s="20" t="s">
        <v>411</v>
      </c>
      <c r="F190" s="227"/>
      <c r="G190" s="227"/>
      <c r="H190" s="227"/>
      <c r="I190" s="227"/>
      <c r="J190" s="169">
        <f>J191+J192+J193+J194+J196+J205+J215+J216+J225+J234+J235+J236</f>
        <v>49716.040000000008</v>
      </c>
      <c r="K190" s="169">
        <f t="shared" ref="K190:O190" si="49">K191+K192+K193+K194+K196+K205+K215+K216+K225+K234+K235+K236</f>
        <v>49029.640000000007</v>
      </c>
      <c r="L190" s="169">
        <f t="shared" si="49"/>
        <v>43192.799999999996</v>
      </c>
      <c r="M190" s="169">
        <f t="shared" si="49"/>
        <v>49986.600000000006</v>
      </c>
      <c r="N190" s="169">
        <f t="shared" si="49"/>
        <v>57631.900000000009</v>
      </c>
      <c r="O190" s="169">
        <f t="shared" si="49"/>
        <v>60000.5</v>
      </c>
      <c r="P190" s="166"/>
      <c r="Q190" s="166"/>
      <c r="R190" s="166"/>
      <c r="S190" s="166"/>
      <c r="T190" s="166"/>
      <c r="U190" s="166"/>
      <c r="V190" s="166"/>
      <c r="W190" s="166"/>
    </row>
    <row r="191" spans="1:27" s="158" customFormat="1" ht="45" customHeight="1" x14ac:dyDescent="0.25">
      <c r="A191" s="164">
        <v>902</v>
      </c>
      <c r="B191" s="357"/>
      <c r="C191" s="167" t="s">
        <v>412</v>
      </c>
      <c r="D191" s="167"/>
      <c r="E191" s="20" t="s">
        <v>413</v>
      </c>
      <c r="F191" s="168" t="s">
        <v>21</v>
      </c>
      <c r="G191" s="168" t="s">
        <v>115</v>
      </c>
      <c r="H191" s="168" t="s">
        <v>414</v>
      </c>
      <c r="I191" s="168" t="s">
        <v>33</v>
      </c>
      <c r="J191" s="169">
        <v>0</v>
      </c>
      <c r="K191" s="169">
        <v>0</v>
      </c>
      <c r="L191" s="169">
        <v>0</v>
      </c>
      <c r="M191" s="169">
        <v>0</v>
      </c>
      <c r="N191" s="169">
        <v>0</v>
      </c>
      <c r="O191" s="169">
        <v>0</v>
      </c>
      <c r="P191" s="156"/>
      <c r="Q191" s="156"/>
      <c r="R191" s="156"/>
      <c r="S191" s="156"/>
      <c r="T191" s="156"/>
      <c r="U191" s="156"/>
      <c r="V191" s="156"/>
      <c r="W191" s="156"/>
      <c r="X191" s="156"/>
      <c r="Y191" s="156"/>
    </row>
    <row r="192" spans="1:27" s="158" customFormat="1" ht="45" customHeight="1" x14ac:dyDescent="0.25">
      <c r="A192" s="164"/>
      <c r="B192" s="357"/>
      <c r="C192" s="167" t="s">
        <v>415</v>
      </c>
      <c r="D192" s="170" t="s">
        <v>416</v>
      </c>
      <c r="E192" s="20" t="s">
        <v>417</v>
      </c>
      <c r="F192" s="168" t="s">
        <v>21</v>
      </c>
      <c r="G192" s="168" t="s">
        <v>220</v>
      </c>
      <c r="H192" s="168" t="s">
        <v>414</v>
      </c>
      <c r="I192" s="168" t="s">
        <v>33</v>
      </c>
      <c r="J192" s="169">
        <v>3265</v>
      </c>
      <c r="K192" s="169">
        <v>3265</v>
      </c>
      <c r="L192" s="169">
        <v>5864.8</v>
      </c>
      <c r="M192" s="169">
        <v>3080.5</v>
      </c>
      <c r="N192" s="169">
        <v>6392.1</v>
      </c>
      <c r="O192" s="169">
        <v>7717.3</v>
      </c>
      <c r="P192" s="156"/>
    </row>
    <row r="193" spans="1:22" s="158" customFormat="1" ht="45" customHeight="1" x14ac:dyDescent="0.25">
      <c r="A193" s="164">
        <v>902</v>
      </c>
      <c r="B193" s="357"/>
      <c r="C193" s="167" t="s">
        <v>418</v>
      </c>
      <c r="D193" s="29" t="s">
        <v>419</v>
      </c>
      <c r="E193" s="29" t="s">
        <v>420</v>
      </c>
      <c r="F193" s="168" t="s">
        <v>21</v>
      </c>
      <c r="G193" s="168" t="s">
        <v>220</v>
      </c>
      <c r="H193" s="168" t="s">
        <v>421</v>
      </c>
      <c r="I193" s="168" t="s">
        <v>33</v>
      </c>
      <c r="J193" s="169">
        <v>4563.3999999999996</v>
      </c>
      <c r="K193" s="169">
        <v>4563.3999999999996</v>
      </c>
      <c r="L193" s="169">
        <v>818.6</v>
      </c>
      <c r="M193" s="169">
        <v>2621.4</v>
      </c>
      <c r="N193" s="169">
        <v>2954.3</v>
      </c>
      <c r="O193" s="169">
        <v>3093.1</v>
      </c>
    </row>
    <row r="194" spans="1:22" s="158" customFormat="1" ht="45" customHeight="1" x14ac:dyDescent="0.25">
      <c r="A194" s="171"/>
      <c r="B194" s="357"/>
      <c r="C194" s="167" t="s">
        <v>422</v>
      </c>
      <c r="D194" s="29" t="s">
        <v>423</v>
      </c>
      <c r="E194" s="29" t="s">
        <v>424</v>
      </c>
      <c r="F194" s="168" t="s">
        <v>21</v>
      </c>
      <c r="G194" s="168" t="s">
        <v>220</v>
      </c>
      <c r="H194" s="168" t="s">
        <v>421</v>
      </c>
      <c r="I194" s="168" t="s">
        <v>89</v>
      </c>
      <c r="J194" s="169">
        <v>0</v>
      </c>
      <c r="K194" s="169">
        <v>0</v>
      </c>
      <c r="L194" s="169">
        <v>19.3</v>
      </c>
      <c r="M194" s="169">
        <v>0</v>
      </c>
      <c r="N194" s="169">
        <v>0</v>
      </c>
      <c r="O194" s="169">
        <v>0</v>
      </c>
    </row>
    <row r="195" spans="1:22" s="158" customFormat="1" ht="45" customHeight="1" x14ac:dyDescent="0.25">
      <c r="A195" s="171"/>
      <c r="B195" s="357"/>
      <c r="C195" s="167" t="s">
        <v>425</v>
      </c>
      <c r="D195" s="20"/>
      <c r="E195" s="29"/>
      <c r="F195" s="168" t="s">
        <v>21</v>
      </c>
      <c r="G195" s="168" t="s">
        <v>115</v>
      </c>
      <c r="H195" s="168" t="s">
        <v>421</v>
      </c>
      <c r="I195" s="168" t="s">
        <v>33</v>
      </c>
      <c r="J195" s="169"/>
      <c r="K195" s="169"/>
      <c r="L195" s="169">
        <v>0</v>
      </c>
      <c r="M195" s="169">
        <v>0</v>
      </c>
      <c r="N195" s="169">
        <v>0</v>
      </c>
      <c r="O195" s="169">
        <v>0</v>
      </c>
      <c r="P195" s="172"/>
    </row>
    <row r="196" spans="1:22" s="158" customFormat="1" ht="45" customHeight="1" x14ac:dyDescent="0.25">
      <c r="A196" s="356">
        <v>902</v>
      </c>
      <c r="B196" s="357"/>
      <c r="C196" s="167" t="s">
        <v>426</v>
      </c>
      <c r="D196" s="20"/>
      <c r="E196" s="29"/>
      <c r="F196" s="168" t="s">
        <v>21</v>
      </c>
      <c r="G196" s="168" t="s">
        <v>115</v>
      </c>
      <c r="H196" s="168" t="s">
        <v>427</v>
      </c>
      <c r="I196" s="173"/>
      <c r="J196" s="169">
        <f>J197+J198+J199+J200+J201+J202+J203+J204</f>
        <v>0</v>
      </c>
      <c r="K196" s="169">
        <f t="shared" ref="K196:O196" si="50">K197+K198+K199+K200+K201+K202+K203+K204</f>
        <v>0</v>
      </c>
      <c r="L196" s="169">
        <f t="shared" si="50"/>
        <v>0</v>
      </c>
      <c r="M196" s="169">
        <f t="shared" si="50"/>
        <v>0</v>
      </c>
      <c r="N196" s="169">
        <f t="shared" si="50"/>
        <v>0</v>
      </c>
      <c r="O196" s="169">
        <f t="shared" si="50"/>
        <v>0</v>
      </c>
    </row>
    <row r="197" spans="1:22" s="158" customFormat="1" ht="45" customHeight="1" x14ac:dyDescent="0.25">
      <c r="A197" s="357"/>
      <c r="B197" s="357"/>
      <c r="C197" s="27" t="s">
        <v>428</v>
      </c>
      <c r="D197" s="20"/>
      <c r="E197" s="29"/>
      <c r="F197" s="173"/>
      <c r="G197" s="173"/>
      <c r="H197" s="173"/>
      <c r="I197" s="31" t="s">
        <v>278</v>
      </c>
      <c r="J197" s="160">
        <v>0</v>
      </c>
      <c r="K197" s="160">
        <v>0</v>
      </c>
      <c r="L197" s="160">
        <v>0</v>
      </c>
      <c r="M197" s="160">
        <v>0</v>
      </c>
      <c r="N197" s="160">
        <v>0</v>
      </c>
      <c r="O197" s="160">
        <v>0</v>
      </c>
    </row>
    <row r="198" spans="1:22" s="158" customFormat="1" ht="45" customHeight="1" x14ac:dyDescent="0.25">
      <c r="A198" s="357"/>
      <c r="B198" s="357"/>
      <c r="C198" s="24" t="s">
        <v>280</v>
      </c>
      <c r="D198" s="143"/>
      <c r="E198" s="144"/>
      <c r="F198" s="173"/>
      <c r="G198" s="173"/>
      <c r="H198" s="173"/>
      <c r="I198" s="31" t="s">
        <v>282</v>
      </c>
      <c r="J198" s="160">
        <v>0</v>
      </c>
      <c r="K198" s="160">
        <v>0</v>
      </c>
      <c r="L198" s="160">
        <v>0</v>
      </c>
      <c r="M198" s="160">
        <v>0</v>
      </c>
      <c r="N198" s="160">
        <v>0</v>
      </c>
      <c r="O198" s="160">
        <v>0</v>
      </c>
    </row>
    <row r="199" spans="1:22" s="158" customFormat="1" ht="45" customHeight="1" x14ac:dyDescent="0.25">
      <c r="A199" s="357"/>
      <c r="B199" s="357"/>
      <c r="C199" s="24" t="s">
        <v>429</v>
      </c>
      <c r="D199" s="31" t="s">
        <v>79</v>
      </c>
      <c r="E199" s="144"/>
      <c r="F199" s="173"/>
      <c r="G199" s="173"/>
      <c r="H199" s="173"/>
      <c r="I199" s="31" t="s">
        <v>279</v>
      </c>
      <c r="J199" s="160">
        <v>0</v>
      </c>
      <c r="K199" s="160">
        <v>0</v>
      </c>
      <c r="L199" s="160">
        <v>0</v>
      </c>
      <c r="M199" s="160">
        <v>0</v>
      </c>
      <c r="N199" s="160">
        <v>0</v>
      </c>
      <c r="O199" s="160">
        <v>0</v>
      </c>
    </row>
    <row r="200" spans="1:22" s="158" customFormat="1" ht="45" customHeight="1" x14ac:dyDescent="0.25">
      <c r="A200" s="357"/>
      <c r="B200" s="357"/>
      <c r="C200" s="27" t="s">
        <v>344</v>
      </c>
      <c r="D200" s="174"/>
      <c r="E200" s="143"/>
      <c r="F200" s="173"/>
      <c r="G200" s="173"/>
      <c r="H200" s="173"/>
      <c r="I200" s="31" t="s">
        <v>33</v>
      </c>
      <c r="J200" s="160">
        <v>0</v>
      </c>
      <c r="K200" s="160">
        <v>0</v>
      </c>
      <c r="L200" s="160">
        <v>0</v>
      </c>
      <c r="M200" s="160">
        <v>0</v>
      </c>
      <c r="N200" s="160">
        <v>0</v>
      </c>
      <c r="O200" s="160">
        <v>0</v>
      </c>
    </row>
    <row r="201" spans="1:22" s="158" customFormat="1" ht="45" customHeight="1" x14ac:dyDescent="0.25">
      <c r="A201" s="357"/>
      <c r="B201" s="357"/>
      <c r="C201" s="33" t="s">
        <v>430</v>
      </c>
      <c r="D201" s="174"/>
      <c r="E201" s="143"/>
      <c r="F201" s="173"/>
      <c r="G201" s="173"/>
      <c r="H201" s="173"/>
      <c r="I201" s="31" t="s">
        <v>96</v>
      </c>
      <c r="J201" s="160">
        <v>0</v>
      </c>
      <c r="K201" s="160">
        <v>0</v>
      </c>
      <c r="L201" s="160">
        <v>0</v>
      </c>
      <c r="M201" s="160">
        <v>0</v>
      </c>
      <c r="N201" s="160">
        <v>0</v>
      </c>
      <c r="O201" s="160">
        <v>0</v>
      </c>
    </row>
    <row r="202" spans="1:22" s="158" customFormat="1" ht="45" customHeight="1" x14ac:dyDescent="0.25">
      <c r="A202" s="357"/>
      <c r="B202" s="357"/>
      <c r="C202" s="92" t="s">
        <v>311</v>
      </c>
      <c r="D202" s="29" t="s">
        <v>34</v>
      </c>
      <c r="E202" s="99"/>
      <c r="F202" s="173"/>
      <c r="G202" s="173"/>
      <c r="H202" s="173"/>
      <c r="I202" s="31" t="s">
        <v>35</v>
      </c>
      <c r="J202" s="160">
        <v>0</v>
      </c>
      <c r="K202" s="160">
        <v>0</v>
      </c>
      <c r="L202" s="160">
        <v>0</v>
      </c>
      <c r="M202" s="160">
        <v>0</v>
      </c>
      <c r="N202" s="160">
        <v>0</v>
      </c>
      <c r="O202" s="160">
        <v>0</v>
      </c>
    </row>
    <row r="203" spans="1:22" s="158" customFormat="1" ht="45" customHeight="1" x14ac:dyDescent="0.25">
      <c r="A203" s="357"/>
      <c r="B203" s="357"/>
      <c r="C203" s="92" t="s">
        <v>311</v>
      </c>
      <c r="D203" s="29" t="s">
        <v>36</v>
      </c>
      <c r="E203" s="99"/>
      <c r="F203" s="173"/>
      <c r="G203" s="173"/>
      <c r="H203" s="173"/>
      <c r="I203" s="31" t="s">
        <v>37</v>
      </c>
      <c r="J203" s="160">
        <v>0</v>
      </c>
      <c r="K203" s="160">
        <v>0</v>
      </c>
      <c r="L203" s="160">
        <v>0</v>
      </c>
      <c r="M203" s="160">
        <v>0</v>
      </c>
      <c r="N203" s="160">
        <v>0</v>
      </c>
      <c r="O203" s="160">
        <v>0</v>
      </c>
    </row>
    <row r="204" spans="1:22" s="158" customFormat="1" ht="45" customHeight="1" x14ac:dyDescent="0.25">
      <c r="A204" s="407"/>
      <c r="B204" s="357"/>
      <c r="C204" s="92" t="s">
        <v>431</v>
      </c>
      <c r="D204" s="29" t="s">
        <v>39</v>
      </c>
      <c r="E204" s="33"/>
      <c r="F204" s="173"/>
      <c r="G204" s="173"/>
      <c r="H204" s="173"/>
      <c r="I204" s="31" t="s">
        <v>41</v>
      </c>
      <c r="J204" s="160">
        <v>0</v>
      </c>
      <c r="K204" s="160">
        <v>0</v>
      </c>
      <c r="L204" s="160">
        <v>0</v>
      </c>
      <c r="M204" s="160">
        <v>0</v>
      </c>
      <c r="N204" s="160">
        <v>0</v>
      </c>
      <c r="O204" s="160">
        <v>0</v>
      </c>
    </row>
    <row r="205" spans="1:22" s="158" customFormat="1" ht="45" customHeight="1" x14ac:dyDescent="0.25">
      <c r="A205" s="356">
        <v>902</v>
      </c>
      <c r="B205" s="357"/>
      <c r="C205" s="167" t="s">
        <v>432</v>
      </c>
      <c r="D205" s="20"/>
      <c r="E205" s="20" t="s">
        <v>433</v>
      </c>
      <c r="F205" s="168" t="s">
        <v>21</v>
      </c>
      <c r="G205" s="168" t="s">
        <v>220</v>
      </c>
      <c r="H205" s="168" t="s">
        <v>427</v>
      </c>
      <c r="I205" s="173"/>
      <c r="J205" s="169">
        <f>J206+J207+J208+J210+J211+J212+J213+J214</f>
        <v>23267.360000000004</v>
      </c>
      <c r="K205" s="169">
        <f t="shared" ref="K205:O205" si="51">K206+K207+K208+K210+K211+K212+K213+K214</f>
        <v>23137.86</v>
      </c>
      <c r="L205" s="169">
        <f t="shared" si="51"/>
        <v>23879.8</v>
      </c>
      <c r="M205" s="169">
        <f t="shared" si="51"/>
        <v>25908.800000000003</v>
      </c>
      <c r="N205" s="169">
        <f t="shared" si="51"/>
        <v>27237.7</v>
      </c>
      <c r="O205" s="169">
        <f t="shared" si="51"/>
        <v>28002.399999999998</v>
      </c>
      <c r="P205" s="175"/>
      <c r="Q205" s="175"/>
      <c r="R205" s="175"/>
      <c r="S205" s="175"/>
      <c r="T205" s="175"/>
      <c r="U205" s="175"/>
      <c r="V205" s="175"/>
    </row>
    <row r="206" spans="1:22" s="158" customFormat="1" ht="45" customHeight="1" x14ac:dyDescent="0.25">
      <c r="A206" s="357"/>
      <c r="B206" s="357"/>
      <c r="C206" s="27" t="s">
        <v>434</v>
      </c>
      <c r="D206" s="20"/>
      <c r="E206" s="29" t="s">
        <v>435</v>
      </c>
      <c r="F206" s="173"/>
      <c r="G206" s="173"/>
      <c r="H206" s="173"/>
      <c r="I206" s="31" t="s">
        <v>278</v>
      </c>
      <c r="J206" s="160">
        <f>16424.5-432.4</f>
        <v>15992.1</v>
      </c>
      <c r="K206" s="160">
        <v>15992.1</v>
      </c>
      <c r="L206" s="160">
        <f>16857.9-449.7</f>
        <v>16408.2</v>
      </c>
      <c r="M206" s="160">
        <f>17649.9-472.6</f>
        <v>17177.300000000003</v>
      </c>
      <c r="N206" s="160">
        <f>18174.7-491.5</f>
        <v>17683.2</v>
      </c>
      <c r="O206" s="160">
        <f>18174.7-511.2</f>
        <v>17663.5</v>
      </c>
      <c r="P206" s="156"/>
      <c r="Q206" s="156"/>
    </row>
    <row r="207" spans="1:22" s="158" customFormat="1" ht="45" customHeight="1" x14ac:dyDescent="0.25">
      <c r="A207" s="357"/>
      <c r="B207" s="357"/>
      <c r="C207" s="24" t="s">
        <v>436</v>
      </c>
      <c r="D207" s="143"/>
      <c r="E207" s="144" t="s">
        <v>297</v>
      </c>
      <c r="F207" s="173"/>
      <c r="G207" s="173"/>
      <c r="H207" s="173"/>
      <c r="I207" s="31" t="s">
        <v>282</v>
      </c>
      <c r="J207" s="160">
        <v>4410.4399999999996</v>
      </c>
      <c r="K207" s="160">
        <v>4410.4399999999996</v>
      </c>
      <c r="L207" s="160">
        <v>4711.5</v>
      </c>
      <c r="M207" s="160">
        <v>5330.3</v>
      </c>
      <c r="N207" s="160">
        <v>5488.8</v>
      </c>
      <c r="O207" s="160">
        <v>5488.8</v>
      </c>
    </row>
    <row r="208" spans="1:22" s="158" customFormat="1" ht="45" customHeight="1" x14ac:dyDescent="0.25">
      <c r="A208" s="357"/>
      <c r="B208" s="357"/>
      <c r="C208" s="24" t="s">
        <v>437</v>
      </c>
      <c r="D208" s="31" t="s">
        <v>79</v>
      </c>
      <c r="E208" s="33" t="s">
        <v>108</v>
      </c>
      <c r="F208" s="173"/>
      <c r="G208" s="173"/>
      <c r="H208" s="173"/>
      <c r="I208" s="31" t="s">
        <v>279</v>
      </c>
      <c r="J208" s="160">
        <v>47.2</v>
      </c>
      <c r="K208" s="160">
        <v>47.2</v>
      </c>
      <c r="L208" s="160">
        <v>20.100000000000001</v>
      </c>
      <c r="M208" s="160">
        <v>90.4</v>
      </c>
      <c r="N208" s="160">
        <v>94.4</v>
      </c>
      <c r="O208" s="160">
        <v>98.5</v>
      </c>
    </row>
    <row r="209" spans="1:15" s="158" customFormat="1" ht="45" customHeight="1" x14ac:dyDescent="0.25">
      <c r="A209" s="357"/>
      <c r="B209" s="357"/>
      <c r="C209" s="27" t="s">
        <v>344</v>
      </c>
      <c r="D209" s="143"/>
      <c r="E209" s="144" t="s">
        <v>157</v>
      </c>
      <c r="F209" s="173"/>
      <c r="G209" s="173"/>
      <c r="H209" s="173"/>
      <c r="I209" s="31" t="s">
        <v>43</v>
      </c>
      <c r="J209" s="160">
        <v>0</v>
      </c>
      <c r="K209" s="160">
        <v>0</v>
      </c>
      <c r="L209" s="160">
        <v>0</v>
      </c>
      <c r="M209" s="160">
        <v>0</v>
      </c>
      <c r="N209" s="160">
        <v>0</v>
      </c>
      <c r="O209" s="160">
        <v>0</v>
      </c>
    </row>
    <row r="210" spans="1:15" s="158" customFormat="1" ht="45" customHeight="1" x14ac:dyDescent="0.25">
      <c r="A210" s="357"/>
      <c r="B210" s="357"/>
      <c r="C210" s="27" t="s">
        <v>438</v>
      </c>
      <c r="D210" s="144" t="s">
        <v>439</v>
      </c>
      <c r="E210" s="144" t="s">
        <v>157</v>
      </c>
      <c r="F210" s="173"/>
      <c r="G210" s="173"/>
      <c r="H210" s="173"/>
      <c r="I210" s="31" t="s">
        <v>33</v>
      </c>
      <c r="J210" s="160">
        <v>2068</v>
      </c>
      <c r="K210" s="160">
        <v>1991.8</v>
      </c>
      <c r="L210" s="160">
        <v>1945.3</v>
      </c>
      <c r="M210" s="160">
        <v>2401.6</v>
      </c>
      <c r="N210" s="160">
        <v>3026.6</v>
      </c>
      <c r="O210" s="160">
        <v>3769.8</v>
      </c>
    </row>
    <row r="211" spans="1:15" s="158" customFormat="1" ht="45" customHeight="1" x14ac:dyDescent="0.25">
      <c r="A211" s="357"/>
      <c r="B211" s="357"/>
      <c r="C211" s="27" t="s">
        <v>440</v>
      </c>
      <c r="D211" s="144" t="s">
        <v>441</v>
      </c>
      <c r="E211" s="144" t="s">
        <v>157</v>
      </c>
      <c r="F211" s="173"/>
      <c r="G211" s="173"/>
      <c r="H211" s="173"/>
      <c r="I211" s="31" t="s">
        <v>93</v>
      </c>
      <c r="J211" s="160">
        <v>634.94000000000005</v>
      </c>
      <c r="K211" s="160">
        <v>581.6</v>
      </c>
      <c r="L211" s="160">
        <v>678.1</v>
      </c>
      <c r="M211" s="160">
        <v>789.2</v>
      </c>
      <c r="N211" s="160">
        <v>824.7</v>
      </c>
      <c r="O211" s="160">
        <v>861.8</v>
      </c>
    </row>
    <row r="212" spans="1:15" s="158" customFormat="1" ht="45" customHeight="1" x14ac:dyDescent="0.25">
      <c r="A212" s="357"/>
      <c r="B212" s="357"/>
      <c r="C212" s="92" t="s">
        <v>311</v>
      </c>
      <c r="D212" s="29" t="s">
        <v>34</v>
      </c>
      <c r="E212" s="99" t="s">
        <v>332</v>
      </c>
      <c r="F212" s="173"/>
      <c r="G212" s="173"/>
      <c r="H212" s="173"/>
      <c r="I212" s="31" t="s">
        <v>35</v>
      </c>
      <c r="J212" s="160">
        <v>106.4</v>
      </c>
      <c r="K212" s="160">
        <v>106.44</v>
      </c>
      <c r="L212" s="160">
        <v>107.5</v>
      </c>
      <c r="M212" s="160">
        <v>107.5</v>
      </c>
      <c r="N212" s="160">
        <v>107.5</v>
      </c>
      <c r="O212" s="160">
        <v>107.5</v>
      </c>
    </row>
    <row r="213" spans="1:15" s="158" customFormat="1" ht="45" customHeight="1" x14ac:dyDescent="0.25">
      <c r="A213" s="357"/>
      <c r="B213" s="357"/>
      <c r="C213" s="92" t="s">
        <v>311</v>
      </c>
      <c r="D213" s="29" t="s">
        <v>36</v>
      </c>
      <c r="E213" s="99" t="s">
        <v>332</v>
      </c>
      <c r="F213" s="173"/>
      <c r="G213" s="173"/>
      <c r="H213" s="173"/>
      <c r="I213" s="31" t="s">
        <v>37</v>
      </c>
      <c r="J213" s="160">
        <v>8.2200000000000006</v>
      </c>
      <c r="K213" s="160">
        <v>8.2200000000000006</v>
      </c>
      <c r="L213" s="160">
        <v>8.1999999999999993</v>
      </c>
      <c r="M213" s="160">
        <v>11.4</v>
      </c>
      <c r="N213" s="160">
        <v>11.4</v>
      </c>
      <c r="O213" s="160">
        <v>11.4</v>
      </c>
    </row>
    <row r="214" spans="1:15" s="158" customFormat="1" ht="45" customHeight="1" x14ac:dyDescent="0.25">
      <c r="A214" s="407"/>
      <c r="B214" s="357"/>
      <c r="C214" s="29" t="s">
        <v>442</v>
      </c>
      <c r="D214" s="29" t="s">
        <v>39</v>
      </c>
      <c r="E214" s="33" t="s">
        <v>443</v>
      </c>
      <c r="F214" s="173"/>
      <c r="G214" s="173"/>
      <c r="H214" s="173"/>
      <c r="I214" s="31" t="s">
        <v>41</v>
      </c>
      <c r="J214" s="160">
        <v>0.06</v>
      </c>
      <c r="K214" s="160">
        <v>0.06</v>
      </c>
      <c r="L214" s="160">
        <v>0.9</v>
      </c>
      <c r="M214" s="160">
        <v>1.1000000000000001</v>
      </c>
      <c r="N214" s="160">
        <v>1.1000000000000001</v>
      </c>
      <c r="O214" s="160">
        <v>1.1000000000000001</v>
      </c>
    </row>
    <row r="215" spans="1:15" s="158" customFormat="1" ht="45" customHeight="1" x14ac:dyDescent="0.25">
      <c r="A215" s="164">
        <v>902</v>
      </c>
      <c r="B215" s="407"/>
      <c r="C215" s="24" t="s">
        <v>444</v>
      </c>
      <c r="D215" s="144" t="s">
        <v>328</v>
      </c>
      <c r="E215" s="144" t="s">
        <v>445</v>
      </c>
      <c r="F215" s="168" t="s">
        <v>21</v>
      </c>
      <c r="G215" s="168" t="s">
        <v>115</v>
      </c>
      <c r="H215" s="168" t="s">
        <v>446</v>
      </c>
      <c r="I215" s="168" t="s">
        <v>33</v>
      </c>
      <c r="J215" s="169">
        <v>64.5</v>
      </c>
      <c r="K215" s="169">
        <v>64.400000000000006</v>
      </c>
      <c r="L215" s="169">
        <v>66.900000000000006</v>
      </c>
      <c r="M215" s="169">
        <v>70.400000000000006</v>
      </c>
      <c r="N215" s="169">
        <v>73.5</v>
      </c>
      <c r="O215" s="169">
        <v>76.8</v>
      </c>
    </row>
    <row r="216" spans="1:15" s="158" customFormat="1" ht="45" customHeight="1" x14ac:dyDescent="0.25">
      <c r="A216" s="171"/>
      <c r="B216" s="171"/>
      <c r="C216" s="27" t="s">
        <v>438</v>
      </c>
      <c r="D216" s="144" t="s">
        <v>328</v>
      </c>
      <c r="E216" s="144" t="s">
        <v>157</v>
      </c>
      <c r="F216" s="168" t="s">
        <v>21</v>
      </c>
      <c r="G216" s="168" t="s">
        <v>115</v>
      </c>
      <c r="H216" s="168" t="s">
        <v>447</v>
      </c>
      <c r="I216" s="168" t="s">
        <v>33</v>
      </c>
      <c r="J216" s="169">
        <v>3599.9</v>
      </c>
      <c r="K216" s="169">
        <v>3599.9</v>
      </c>
      <c r="L216" s="169">
        <v>58.4</v>
      </c>
      <c r="M216" s="169">
        <v>200</v>
      </c>
      <c r="N216" s="169">
        <v>200</v>
      </c>
      <c r="O216" s="169">
        <v>200</v>
      </c>
    </row>
    <row r="217" spans="1:15" s="158" customFormat="1" ht="45" customHeight="1" x14ac:dyDescent="0.25">
      <c r="A217" s="356">
        <v>902</v>
      </c>
      <c r="B217" s="356" t="s">
        <v>448</v>
      </c>
      <c r="C217" s="200" t="s">
        <v>449</v>
      </c>
      <c r="D217" s="176" t="s">
        <v>450</v>
      </c>
      <c r="E217" s="221" t="s">
        <v>451</v>
      </c>
      <c r="F217" s="168" t="s">
        <v>21</v>
      </c>
      <c r="G217" s="168" t="s">
        <v>115</v>
      </c>
      <c r="H217" s="168" t="s">
        <v>452</v>
      </c>
      <c r="I217" s="168"/>
      <c r="J217" s="169">
        <f>J218+J219+J220+J221+J222+J223+J224</f>
        <v>0</v>
      </c>
      <c r="K217" s="169">
        <f t="shared" ref="K217:O217" si="52">K218+K219+K220+K221+K222+K223+K224</f>
        <v>0</v>
      </c>
      <c r="L217" s="169">
        <f t="shared" si="52"/>
        <v>0</v>
      </c>
      <c r="M217" s="169">
        <f t="shared" si="52"/>
        <v>0</v>
      </c>
      <c r="N217" s="169">
        <f t="shared" si="52"/>
        <v>0</v>
      </c>
      <c r="O217" s="169">
        <f t="shared" si="52"/>
        <v>0</v>
      </c>
    </row>
    <row r="218" spans="1:15" s="158" customFormat="1" ht="45" customHeight="1" x14ac:dyDescent="0.25">
      <c r="A218" s="357"/>
      <c r="B218" s="357"/>
      <c r="C218" s="27" t="s">
        <v>453</v>
      </c>
      <c r="D218" s="20"/>
      <c r="E218" s="29" t="s">
        <v>454</v>
      </c>
      <c r="F218" s="173"/>
      <c r="G218" s="173"/>
      <c r="H218" s="173"/>
      <c r="I218" s="31" t="s">
        <v>278</v>
      </c>
      <c r="J218" s="160">
        <v>0</v>
      </c>
      <c r="K218" s="160">
        <v>0</v>
      </c>
      <c r="L218" s="160">
        <v>0</v>
      </c>
      <c r="M218" s="160">
        <v>0</v>
      </c>
      <c r="N218" s="160">
        <v>0</v>
      </c>
      <c r="O218" s="160">
        <v>0</v>
      </c>
    </row>
    <row r="219" spans="1:15" s="158" customFormat="1" ht="45" customHeight="1" x14ac:dyDescent="0.25">
      <c r="A219" s="357"/>
      <c r="B219" s="357"/>
      <c r="C219" s="24" t="s">
        <v>455</v>
      </c>
      <c r="D219" s="174"/>
      <c r="E219" s="143" t="s">
        <v>456</v>
      </c>
      <c r="F219" s="173"/>
      <c r="G219" s="173"/>
      <c r="H219" s="173"/>
      <c r="I219" s="31" t="s">
        <v>279</v>
      </c>
      <c r="J219" s="160">
        <v>0</v>
      </c>
      <c r="K219" s="160">
        <v>0</v>
      </c>
      <c r="L219" s="160">
        <v>0</v>
      </c>
      <c r="M219" s="160">
        <v>0</v>
      </c>
      <c r="N219" s="160">
        <v>0</v>
      </c>
      <c r="O219" s="160">
        <v>0</v>
      </c>
    </row>
    <row r="220" spans="1:15" s="158" customFormat="1" ht="45" customHeight="1" x14ac:dyDescent="0.25">
      <c r="A220" s="357"/>
      <c r="B220" s="357"/>
      <c r="C220" s="24" t="s">
        <v>280</v>
      </c>
      <c r="D220" s="143"/>
      <c r="E220" s="144" t="s">
        <v>297</v>
      </c>
      <c r="F220" s="173"/>
      <c r="G220" s="173"/>
      <c r="H220" s="173"/>
      <c r="I220" s="31" t="s">
        <v>282</v>
      </c>
      <c r="J220" s="160">
        <v>0</v>
      </c>
      <c r="K220" s="160">
        <v>0</v>
      </c>
      <c r="L220" s="160">
        <v>0</v>
      </c>
      <c r="M220" s="160">
        <v>0</v>
      </c>
      <c r="N220" s="160">
        <v>0</v>
      </c>
      <c r="O220" s="160">
        <v>0</v>
      </c>
    </row>
    <row r="221" spans="1:15" s="158" customFormat="1" ht="45" customHeight="1" x14ac:dyDescent="0.25">
      <c r="A221" s="357"/>
      <c r="B221" s="357"/>
      <c r="C221" s="24" t="s">
        <v>457</v>
      </c>
      <c r="D221" s="176"/>
      <c r="E221" s="143" t="s">
        <v>458</v>
      </c>
      <c r="F221" s="173"/>
      <c r="G221" s="173"/>
      <c r="H221" s="173"/>
      <c r="I221" s="31" t="s">
        <v>33</v>
      </c>
      <c r="J221" s="160">
        <v>0</v>
      </c>
      <c r="K221" s="160">
        <v>0</v>
      </c>
      <c r="L221" s="160">
        <v>0</v>
      </c>
      <c r="M221" s="160">
        <v>0</v>
      </c>
      <c r="N221" s="160">
        <v>0</v>
      </c>
      <c r="O221" s="160">
        <v>0</v>
      </c>
    </row>
    <row r="222" spans="1:15" s="158" customFormat="1" ht="45" customHeight="1" x14ac:dyDescent="0.25">
      <c r="A222" s="357"/>
      <c r="B222" s="357"/>
      <c r="C222" s="177" t="s">
        <v>311</v>
      </c>
      <c r="D222" s="29" t="s">
        <v>34</v>
      </c>
      <c r="E222" s="99" t="s">
        <v>332</v>
      </c>
      <c r="F222" s="173"/>
      <c r="G222" s="173"/>
      <c r="H222" s="173"/>
      <c r="I222" s="31" t="s">
        <v>35</v>
      </c>
      <c r="J222" s="160">
        <v>0</v>
      </c>
      <c r="K222" s="160">
        <v>0</v>
      </c>
      <c r="L222" s="160">
        <v>0</v>
      </c>
      <c r="M222" s="160">
        <v>0</v>
      </c>
      <c r="N222" s="160">
        <v>0</v>
      </c>
      <c r="O222" s="160">
        <v>0</v>
      </c>
    </row>
    <row r="223" spans="1:15" s="158" customFormat="1" ht="45" customHeight="1" x14ac:dyDescent="0.25">
      <c r="A223" s="357"/>
      <c r="B223" s="357"/>
      <c r="C223" s="92" t="s">
        <v>311</v>
      </c>
      <c r="D223" s="29" t="s">
        <v>36</v>
      </c>
      <c r="E223" s="99" t="s">
        <v>332</v>
      </c>
      <c r="F223" s="173"/>
      <c r="G223" s="173"/>
      <c r="H223" s="173"/>
      <c r="I223" s="31" t="s">
        <v>37</v>
      </c>
      <c r="J223" s="178">
        <v>0</v>
      </c>
      <c r="K223" s="178">
        <v>0</v>
      </c>
      <c r="L223" s="178">
        <v>0</v>
      </c>
      <c r="M223" s="178">
        <v>0</v>
      </c>
      <c r="N223" s="178">
        <v>0</v>
      </c>
      <c r="O223" s="178">
        <v>0</v>
      </c>
    </row>
    <row r="224" spans="1:15" s="158" customFormat="1" ht="45" customHeight="1" x14ac:dyDescent="0.25">
      <c r="A224" s="407"/>
      <c r="B224" s="357"/>
      <c r="C224" s="33" t="s">
        <v>459</v>
      </c>
      <c r="D224" s="29" t="s">
        <v>39</v>
      </c>
      <c r="E224" s="33" t="s">
        <v>443</v>
      </c>
      <c r="F224" s="179"/>
      <c r="G224" s="179"/>
      <c r="H224" s="179"/>
      <c r="I224" s="31" t="s">
        <v>41</v>
      </c>
      <c r="J224" s="178">
        <v>0</v>
      </c>
      <c r="K224" s="178">
        <v>0</v>
      </c>
      <c r="L224" s="178">
        <v>0</v>
      </c>
      <c r="M224" s="178">
        <v>0</v>
      </c>
      <c r="N224" s="178">
        <v>0</v>
      </c>
      <c r="O224" s="178">
        <v>0</v>
      </c>
    </row>
    <row r="225" spans="1:20" s="158" customFormat="1" ht="45" customHeight="1" x14ac:dyDescent="0.25">
      <c r="A225" s="356">
        <v>902</v>
      </c>
      <c r="B225" s="357"/>
      <c r="C225" s="200" t="s">
        <v>460</v>
      </c>
      <c r="D225" s="176" t="s">
        <v>450</v>
      </c>
      <c r="E225" s="221" t="s">
        <v>461</v>
      </c>
      <c r="F225" s="168" t="s">
        <v>21</v>
      </c>
      <c r="G225" s="168" t="s">
        <v>220</v>
      </c>
      <c r="H225" s="168" t="s">
        <v>452</v>
      </c>
      <c r="I225" s="168"/>
      <c r="J225" s="169">
        <f>J226+J227+J228+J229+J230+J231+J232+J233</f>
        <v>13210.880000000001</v>
      </c>
      <c r="K225" s="169">
        <f t="shared" ref="K225:O225" si="53">K226+K227+K228+K229+K230+K231+K232+K233</f>
        <v>13177.58</v>
      </c>
      <c r="L225" s="169">
        <f t="shared" si="53"/>
        <v>12413.399999999998</v>
      </c>
      <c r="M225" s="169">
        <f t="shared" si="53"/>
        <v>18008.8</v>
      </c>
      <c r="N225" s="169">
        <f t="shared" si="53"/>
        <v>20673.400000000001</v>
      </c>
      <c r="O225" s="169">
        <f t="shared" si="53"/>
        <v>20805.5</v>
      </c>
      <c r="Q225" s="156"/>
      <c r="R225" s="156"/>
      <c r="S225" s="156"/>
      <c r="T225" s="156"/>
    </row>
    <row r="226" spans="1:20" s="158" customFormat="1" ht="45" customHeight="1" x14ac:dyDescent="0.25">
      <c r="A226" s="357"/>
      <c r="B226" s="357"/>
      <c r="C226" s="27" t="s">
        <v>462</v>
      </c>
      <c r="D226" s="20"/>
      <c r="E226" s="29" t="s">
        <v>463</v>
      </c>
      <c r="F226" s="173"/>
      <c r="G226" s="173"/>
      <c r="H226" s="173"/>
      <c r="I226" s="31" t="s">
        <v>278</v>
      </c>
      <c r="J226" s="160">
        <v>8138.34</v>
      </c>
      <c r="K226" s="160">
        <v>8138.34</v>
      </c>
      <c r="L226" s="160">
        <f>9373.8-1058.9</f>
        <v>8314.9</v>
      </c>
      <c r="M226" s="160">
        <f>11760.9-1112.9</f>
        <v>10648</v>
      </c>
      <c r="N226" s="160">
        <f>12110.9-1157.4</f>
        <v>10953.5</v>
      </c>
      <c r="O226" s="160">
        <f>12110.9-1203.7</f>
        <v>10907.199999999999</v>
      </c>
    </row>
    <row r="227" spans="1:20" s="158" customFormat="1" ht="45" customHeight="1" x14ac:dyDescent="0.25">
      <c r="A227" s="357"/>
      <c r="B227" s="357"/>
      <c r="C227" s="24" t="s">
        <v>464</v>
      </c>
      <c r="D227" s="31" t="s">
        <v>79</v>
      </c>
      <c r="E227" s="33" t="s">
        <v>108</v>
      </c>
      <c r="F227" s="173"/>
      <c r="G227" s="173"/>
      <c r="H227" s="173"/>
      <c r="I227" s="31" t="s">
        <v>279</v>
      </c>
      <c r="J227" s="160">
        <v>2.4</v>
      </c>
      <c r="K227" s="160">
        <v>2.4</v>
      </c>
      <c r="L227" s="160">
        <v>0</v>
      </c>
      <c r="M227" s="160">
        <v>79</v>
      </c>
      <c r="N227" s="160">
        <v>82.4</v>
      </c>
      <c r="O227" s="160">
        <v>0</v>
      </c>
    </row>
    <row r="228" spans="1:20" s="158" customFormat="1" ht="45" customHeight="1" x14ac:dyDescent="0.25">
      <c r="A228" s="357"/>
      <c r="B228" s="357"/>
      <c r="C228" s="24" t="s">
        <v>465</v>
      </c>
      <c r="D228" s="143"/>
      <c r="E228" s="144" t="s">
        <v>297</v>
      </c>
      <c r="F228" s="173"/>
      <c r="G228" s="173"/>
      <c r="H228" s="173"/>
      <c r="I228" s="31" t="s">
        <v>282</v>
      </c>
      <c r="J228" s="160">
        <v>2381.35</v>
      </c>
      <c r="K228" s="160">
        <v>2381.35</v>
      </c>
      <c r="L228" s="160">
        <v>2610.1999999999998</v>
      </c>
      <c r="M228" s="160">
        <v>3551.8</v>
      </c>
      <c r="N228" s="160">
        <v>3657.5</v>
      </c>
      <c r="O228" s="160">
        <v>3657.5</v>
      </c>
    </row>
    <row r="229" spans="1:20" s="158" customFormat="1" ht="45" customHeight="1" x14ac:dyDescent="0.25">
      <c r="A229" s="357"/>
      <c r="B229" s="357"/>
      <c r="C229" s="27" t="s">
        <v>466</v>
      </c>
      <c r="D229" s="144" t="s">
        <v>467</v>
      </c>
      <c r="E229" s="143" t="s">
        <v>157</v>
      </c>
      <c r="F229" s="173"/>
      <c r="G229" s="173"/>
      <c r="H229" s="173"/>
      <c r="I229" s="31" t="s">
        <v>33</v>
      </c>
      <c r="J229" s="160">
        <v>2509.1</v>
      </c>
      <c r="K229" s="160">
        <v>2475.8000000000002</v>
      </c>
      <c r="L229" s="160">
        <v>1325.8</v>
      </c>
      <c r="M229" s="160">
        <v>3511.1</v>
      </c>
      <c r="N229" s="160">
        <v>5752.6</v>
      </c>
      <c r="O229" s="160">
        <v>6004.6</v>
      </c>
    </row>
    <row r="230" spans="1:20" s="158" customFormat="1" ht="45" customHeight="1" x14ac:dyDescent="0.25">
      <c r="A230" s="357"/>
      <c r="B230" s="357"/>
      <c r="C230" s="27" t="s">
        <v>468</v>
      </c>
      <c r="D230" s="144" t="s">
        <v>469</v>
      </c>
      <c r="E230" s="143" t="s">
        <v>157</v>
      </c>
      <c r="F230" s="173"/>
      <c r="G230" s="173"/>
      <c r="H230" s="173"/>
      <c r="I230" s="31" t="s">
        <v>93</v>
      </c>
      <c r="J230" s="160">
        <v>176.8</v>
      </c>
      <c r="K230" s="160">
        <v>176.8</v>
      </c>
      <c r="L230" s="160">
        <v>162.30000000000001</v>
      </c>
      <c r="M230" s="160">
        <v>188</v>
      </c>
      <c r="N230" s="160">
        <v>196.5</v>
      </c>
      <c r="O230" s="160">
        <v>205.3</v>
      </c>
    </row>
    <row r="231" spans="1:20" s="158" customFormat="1" ht="45" customHeight="1" x14ac:dyDescent="0.25">
      <c r="A231" s="357"/>
      <c r="B231" s="357"/>
      <c r="C231" s="177" t="s">
        <v>311</v>
      </c>
      <c r="D231" s="29" t="s">
        <v>34</v>
      </c>
      <c r="E231" s="99" t="s">
        <v>332</v>
      </c>
      <c r="F231" s="173"/>
      <c r="G231" s="173"/>
      <c r="H231" s="173"/>
      <c r="I231" s="31" t="s">
        <v>35</v>
      </c>
      <c r="J231" s="160">
        <v>1.1000000000000001</v>
      </c>
      <c r="K231" s="160">
        <v>1.1000000000000001</v>
      </c>
      <c r="L231" s="160">
        <v>0</v>
      </c>
      <c r="M231" s="160">
        <v>18</v>
      </c>
      <c r="N231" s="160">
        <v>18</v>
      </c>
      <c r="O231" s="160">
        <v>18</v>
      </c>
    </row>
    <row r="232" spans="1:20" s="158" customFormat="1" ht="45" customHeight="1" x14ac:dyDescent="0.25">
      <c r="A232" s="357"/>
      <c r="B232" s="357"/>
      <c r="C232" s="92" t="s">
        <v>311</v>
      </c>
      <c r="D232" s="29" t="s">
        <v>36</v>
      </c>
      <c r="E232" s="99" t="s">
        <v>332</v>
      </c>
      <c r="F232" s="173"/>
      <c r="G232" s="173"/>
      <c r="H232" s="173"/>
      <c r="I232" s="31" t="s">
        <v>37</v>
      </c>
      <c r="J232" s="178">
        <v>1.7</v>
      </c>
      <c r="K232" s="178">
        <v>1.7</v>
      </c>
      <c r="L232" s="178">
        <v>0</v>
      </c>
      <c r="M232" s="178">
        <v>12.7</v>
      </c>
      <c r="N232" s="178">
        <v>12.7</v>
      </c>
      <c r="O232" s="178">
        <v>12.7</v>
      </c>
    </row>
    <row r="233" spans="1:20" s="158" customFormat="1" ht="45" customHeight="1" x14ac:dyDescent="0.25">
      <c r="A233" s="407"/>
      <c r="B233" s="357"/>
      <c r="C233" s="33" t="s">
        <v>470</v>
      </c>
      <c r="D233" s="29" t="s">
        <v>39</v>
      </c>
      <c r="E233" s="33" t="s">
        <v>471</v>
      </c>
      <c r="F233" s="179"/>
      <c r="G233" s="179"/>
      <c r="H233" s="179"/>
      <c r="I233" s="31" t="s">
        <v>41</v>
      </c>
      <c r="J233" s="178">
        <v>0.09</v>
      </c>
      <c r="K233" s="178">
        <v>0.09</v>
      </c>
      <c r="L233" s="178">
        <v>0.2</v>
      </c>
      <c r="M233" s="178">
        <v>0.2</v>
      </c>
      <c r="N233" s="178">
        <v>0.2</v>
      </c>
      <c r="O233" s="178">
        <v>0.2</v>
      </c>
    </row>
    <row r="234" spans="1:20" s="180" customFormat="1" ht="45" customHeight="1" x14ac:dyDescent="0.25">
      <c r="A234" s="164"/>
      <c r="B234" s="357"/>
      <c r="C234" s="151" t="s">
        <v>472</v>
      </c>
      <c r="D234" s="144" t="s">
        <v>469</v>
      </c>
      <c r="E234" s="132"/>
      <c r="F234" s="168" t="s">
        <v>21</v>
      </c>
      <c r="G234" s="168" t="s">
        <v>220</v>
      </c>
      <c r="H234" s="168" t="s">
        <v>473</v>
      </c>
      <c r="I234" s="168" t="s">
        <v>33</v>
      </c>
      <c r="J234" s="40">
        <v>1723.5</v>
      </c>
      <c r="K234" s="40">
        <v>1200</v>
      </c>
      <c r="L234" s="40">
        <v>0</v>
      </c>
      <c r="M234" s="40">
        <v>0</v>
      </c>
      <c r="N234" s="40">
        <v>0</v>
      </c>
      <c r="O234" s="40">
        <v>0</v>
      </c>
    </row>
    <row r="235" spans="1:20" s="158" customFormat="1" ht="45" customHeight="1" x14ac:dyDescent="0.25">
      <c r="A235" s="164"/>
      <c r="B235" s="407"/>
      <c r="C235" s="200" t="s">
        <v>474</v>
      </c>
      <c r="D235" s="176" t="s">
        <v>450</v>
      </c>
      <c r="E235" s="221" t="s">
        <v>475</v>
      </c>
      <c r="F235" s="168" t="s">
        <v>21</v>
      </c>
      <c r="G235" s="168" t="s">
        <v>115</v>
      </c>
      <c r="H235" s="168" t="s">
        <v>476</v>
      </c>
      <c r="I235" s="168" t="s">
        <v>33</v>
      </c>
      <c r="J235" s="40"/>
      <c r="K235" s="40"/>
      <c r="L235" s="40">
        <v>0</v>
      </c>
      <c r="M235" s="40">
        <v>0</v>
      </c>
      <c r="N235" s="40">
        <v>0</v>
      </c>
      <c r="O235" s="40">
        <v>0</v>
      </c>
    </row>
    <row r="236" spans="1:20" s="158" customFormat="1" ht="45" customHeight="1" x14ac:dyDescent="0.25">
      <c r="A236" s="164"/>
      <c r="B236" s="226"/>
      <c r="C236" s="200" t="s">
        <v>477</v>
      </c>
      <c r="D236" s="144" t="s">
        <v>469</v>
      </c>
      <c r="E236" s="221" t="s">
        <v>478</v>
      </c>
      <c r="F236" s="168" t="s">
        <v>21</v>
      </c>
      <c r="G236" s="168" t="s">
        <v>220</v>
      </c>
      <c r="H236" s="168" t="s">
        <v>476</v>
      </c>
      <c r="I236" s="168" t="s">
        <v>33</v>
      </c>
      <c r="J236" s="228">
        <v>21.5</v>
      </c>
      <c r="K236" s="228">
        <v>21.5</v>
      </c>
      <c r="L236" s="228">
        <v>71.599999999999994</v>
      </c>
      <c r="M236" s="228">
        <v>96.7</v>
      </c>
      <c r="N236" s="228">
        <v>100.9</v>
      </c>
      <c r="O236" s="228">
        <v>105.4</v>
      </c>
    </row>
    <row r="237" spans="1:20" s="114" customFormat="1" ht="45" customHeight="1" x14ac:dyDescent="0.25">
      <c r="A237" s="229"/>
      <c r="B237" s="420" t="s">
        <v>479</v>
      </c>
      <c r="C237" s="421"/>
      <c r="D237" s="421"/>
      <c r="E237" s="421"/>
      <c r="F237" s="421"/>
      <c r="G237" s="421"/>
      <c r="H237" s="421"/>
      <c r="I237" s="421"/>
      <c r="J237" s="421"/>
      <c r="K237" s="421"/>
      <c r="L237" s="421"/>
      <c r="M237" s="421"/>
      <c r="N237" s="421"/>
      <c r="O237" s="421"/>
    </row>
    <row r="238" spans="1:20" s="114" customFormat="1" ht="45" customHeight="1" x14ac:dyDescent="0.25">
      <c r="A238" s="230"/>
      <c r="B238" s="422" t="s">
        <v>480</v>
      </c>
      <c r="C238" s="423"/>
      <c r="D238" s="423"/>
      <c r="E238" s="423"/>
      <c r="F238" s="423"/>
      <c r="G238" s="423"/>
      <c r="H238" s="423"/>
      <c r="I238" s="423"/>
      <c r="J238" s="423"/>
      <c r="K238" s="423"/>
      <c r="L238" s="423"/>
      <c r="M238" s="423"/>
      <c r="N238" s="423"/>
      <c r="O238" s="423"/>
    </row>
    <row r="239" spans="1:20" s="181" customFormat="1" ht="45" customHeight="1" x14ac:dyDescent="0.25">
      <c r="A239" s="356">
        <v>902</v>
      </c>
      <c r="B239" s="417" t="s">
        <v>481</v>
      </c>
      <c r="C239" s="167" t="s">
        <v>482</v>
      </c>
      <c r="D239" s="124" t="s">
        <v>483</v>
      </c>
      <c r="E239" s="212" t="s">
        <v>484</v>
      </c>
      <c r="F239" s="231"/>
      <c r="G239" s="231"/>
      <c r="H239" s="231"/>
      <c r="I239" s="231"/>
      <c r="J239" s="232">
        <f>J240</f>
        <v>5726.1</v>
      </c>
      <c r="K239" s="232">
        <f t="shared" ref="K239:O239" si="54">K240</f>
        <v>5726.1</v>
      </c>
      <c r="L239" s="232">
        <f t="shared" si="54"/>
        <v>6651.7</v>
      </c>
      <c r="M239" s="232">
        <f t="shared" si="54"/>
        <v>9653.5</v>
      </c>
      <c r="N239" s="232">
        <f t="shared" si="54"/>
        <v>6741.5</v>
      </c>
      <c r="O239" s="232">
        <f t="shared" si="54"/>
        <v>7595.2</v>
      </c>
    </row>
    <row r="240" spans="1:20" s="74" customFormat="1" ht="45" customHeight="1" x14ac:dyDescent="0.25">
      <c r="A240" s="357"/>
      <c r="B240" s="418"/>
      <c r="C240" s="94" t="s">
        <v>485</v>
      </c>
      <c r="D240" s="94" t="s">
        <v>105</v>
      </c>
      <c r="E240" s="94" t="s">
        <v>486</v>
      </c>
      <c r="F240" s="70" t="s">
        <v>220</v>
      </c>
      <c r="G240" s="70" t="s">
        <v>487</v>
      </c>
      <c r="H240" s="70"/>
      <c r="I240" s="70"/>
      <c r="J240" s="72">
        <f>SUM(J241:J243)</f>
        <v>5726.1</v>
      </c>
      <c r="K240" s="72">
        <f t="shared" ref="K240:O240" si="55">SUM(K241:K243)</f>
        <v>5726.1</v>
      </c>
      <c r="L240" s="72">
        <f t="shared" si="55"/>
        <v>6651.7</v>
      </c>
      <c r="M240" s="72">
        <f t="shared" si="55"/>
        <v>9653.5</v>
      </c>
      <c r="N240" s="72">
        <f t="shared" si="55"/>
        <v>6741.5</v>
      </c>
      <c r="O240" s="72">
        <f t="shared" si="55"/>
        <v>7595.2</v>
      </c>
    </row>
    <row r="241" spans="1:21" s="74" customFormat="1" ht="45" customHeight="1" x14ac:dyDescent="0.25">
      <c r="A241" s="357"/>
      <c r="B241" s="418"/>
      <c r="C241" s="135" t="s">
        <v>488</v>
      </c>
      <c r="D241" s="135"/>
      <c r="E241" s="135" t="s">
        <v>489</v>
      </c>
      <c r="F241" s="33" t="s">
        <v>220</v>
      </c>
      <c r="G241" s="33" t="s">
        <v>20</v>
      </c>
      <c r="H241" s="33" t="s">
        <v>490</v>
      </c>
      <c r="I241" s="33" t="s">
        <v>491</v>
      </c>
      <c r="J241" s="78">
        <v>5726.1</v>
      </c>
      <c r="K241" s="78">
        <v>5726.1</v>
      </c>
      <c r="L241" s="78">
        <v>0</v>
      </c>
      <c r="M241" s="78">
        <v>0</v>
      </c>
      <c r="N241" s="78">
        <v>0</v>
      </c>
      <c r="O241" s="78">
        <v>0</v>
      </c>
    </row>
    <row r="242" spans="1:21" s="74" customFormat="1" ht="45" customHeight="1" x14ac:dyDescent="0.25">
      <c r="A242" s="357"/>
      <c r="B242" s="418"/>
      <c r="C242" s="182" t="s">
        <v>492</v>
      </c>
      <c r="D242" s="182"/>
      <c r="E242" s="135" t="s">
        <v>493</v>
      </c>
      <c r="F242" s="151" t="s">
        <v>220</v>
      </c>
      <c r="G242" s="33" t="s">
        <v>20</v>
      </c>
      <c r="H242" s="33" t="s">
        <v>494</v>
      </c>
      <c r="I242" s="33" t="s">
        <v>491</v>
      </c>
      <c r="J242" s="78">
        <v>0</v>
      </c>
      <c r="K242" s="78">
        <v>0</v>
      </c>
      <c r="L242" s="78">
        <v>6651.7</v>
      </c>
      <c r="M242" s="78">
        <v>6256.9</v>
      </c>
      <c r="N242" s="78">
        <v>6741.5</v>
      </c>
      <c r="O242" s="78">
        <v>7595.2</v>
      </c>
    </row>
    <row r="243" spans="1:21" s="185" customFormat="1" ht="45" customHeight="1" x14ac:dyDescent="0.25">
      <c r="A243" s="233"/>
      <c r="B243" s="234"/>
      <c r="C243" s="135" t="s">
        <v>495</v>
      </c>
      <c r="D243" s="135"/>
      <c r="E243" s="135" t="s">
        <v>496</v>
      </c>
      <c r="F243" s="135">
        <v>10</v>
      </c>
      <c r="G243" s="183" t="s">
        <v>21</v>
      </c>
      <c r="H243" s="183" t="s">
        <v>497</v>
      </c>
      <c r="I243" s="135">
        <v>323</v>
      </c>
      <c r="J243" s="184">
        <v>0</v>
      </c>
      <c r="K243" s="184">
        <v>0</v>
      </c>
      <c r="L243" s="184">
        <v>0</v>
      </c>
      <c r="M243" s="184">
        <v>3396.6</v>
      </c>
      <c r="N243" s="184">
        <v>0</v>
      </c>
      <c r="O243" s="184">
        <v>0</v>
      </c>
    </row>
    <row r="244" spans="1:21" s="114" customFormat="1" ht="45" customHeight="1" x14ac:dyDescent="0.25">
      <c r="A244" s="229"/>
      <c r="B244" s="423" t="s">
        <v>498</v>
      </c>
      <c r="C244" s="423"/>
      <c r="D244" s="423"/>
      <c r="E244" s="423"/>
      <c r="F244" s="423"/>
      <c r="G244" s="423"/>
      <c r="H244" s="423"/>
      <c r="I244" s="423"/>
      <c r="J244" s="423"/>
      <c r="K244" s="423"/>
      <c r="L244" s="423"/>
      <c r="M244" s="423"/>
      <c r="N244" s="423"/>
      <c r="O244" s="423"/>
    </row>
    <row r="245" spans="1:21" s="66" customFormat="1" ht="45" customHeight="1" x14ac:dyDescent="0.25">
      <c r="A245" s="430" t="s">
        <v>499</v>
      </c>
      <c r="B245" s="428"/>
      <c r="C245" s="428"/>
      <c r="D245" s="428"/>
      <c r="E245" s="428"/>
      <c r="F245" s="428"/>
      <c r="G245" s="428"/>
      <c r="H245" s="428"/>
      <c r="I245" s="429"/>
      <c r="J245" s="72">
        <f>J246+J247+J250+J254</f>
        <v>94510.800000000017</v>
      </c>
      <c r="K245" s="72">
        <f>K246+K247+K250+K254</f>
        <v>94388.1</v>
      </c>
      <c r="L245" s="72">
        <f>L246+L248+L249</f>
        <v>96492</v>
      </c>
      <c r="M245" s="72">
        <f>M246+M247+M250+M254</f>
        <v>99747.5</v>
      </c>
      <c r="N245" s="72">
        <f>N246+N247+N250+N254</f>
        <v>64357.5</v>
      </c>
      <c r="O245" s="72">
        <f>O246+O247+O250+O254</f>
        <v>67678</v>
      </c>
    </row>
    <row r="246" spans="1:21" s="74" customFormat="1" ht="45" customHeight="1" x14ac:dyDescent="0.25">
      <c r="A246" s="235">
        <v>902</v>
      </c>
      <c r="B246" s="235" t="s">
        <v>500</v>
      </c>
      <c r="C246" s="20" t="s">
        <v>501</v>
      </c>
      <c r="D246" s="144" t="s">
        <v>469</v>
      </c>
      <c r="E246" s="70" t="s">
        <v>502</v>
      </c>
      <c r="F246" s="70" t="s">
        <v>20</v>
      </c>
      <c r="G246" s="70" t="s">
        <v>137</v>
      </c>
      <c r="H246" s="70" t="s">
        <v>503</v>
      </c>
      <c r="I246" s="70" t="s">
        <v>33</v>
      </c>
      <c r="J246" s="72">
        <v>186.6</v>
      </c>
      <c r="K246" s="72">
        <v>64.5</v>
      </c>
      <c r="L246" s="72">
        <v>25.3</v>
      </c>
      <c r="M246" s="72">
        <v>11.1</v>
      </c>
      <c r="N246" s="72">
        <v>11.4</v>
      </c>
      <c r="O246" s="72">
        <v>114.6</v>
      </c>
    </row>
    <row r="247" spans="1:21" s="74" customFormat="1" ht="45" customHeight="1" x14ac:dyDescent="0.25">
      <c r="A247" s="406">
        <v>902</v>
      </c>
      <c r="B247" s="406" t="s">
        <v>504</v>
      </c>
      <c r="C247" s="236" t="s">
        <v>505</v>
      </c>
      <c r="D247" s="69" t="s">
        <v>506</v>
      </c>
      <c r="E247" s="70" t="s">
        <v>507</v>
      </c>
      <c r="F247" s="70" t="s">
        <v>220</v>
      </c>
      <c r="G247" s="70" t="s">
        <v>73</v>
      </c>
      <c r="H247" s="70"/>
      <c r="I247" s="70"/>
      <c r="J247" s="72">
        <f>J248+J249</f>
        <v>94324.200000000012</v>
      </c>
      <c r="K247" s="72">
        <f t="shared" ref="K247:O247" si="56">K248+K249</f>
        <v>94323.6</v>
      </c>
      <c r="L247" s="72">
        <f t="shared" si="56"/>
        <v>96466.7</v>
      </c>
      <c r="M247" s="72">
        <f t="shared" si="56"/>
        <v>99736.4</v>
      </c>
      <c r="N247" s="72">
        <f t="shared" si="56"/>
        <v>64346.1</v>
      </c>
      <c r="O247" s="72">
        <f t="shared" si="56"/>
        <v>67563.399999999994</v>
      </c>
      <c r="Q247" s="73"/>
      <c r="R247" s="73"/>
      <c r="S247" s="73"/>
      <c r="T247" s="73"/>
      <c r="U247" s="73"/>
    </row>
    <row r="248" spans="1:21" s="74" customFormat="1" ht="45" customHeight="1" x14ac:dyDescent="0.25">
      <c r="A248" s="406"/>
      <c r="B248" s="406"/>
      <c r="C248" s="186" t="s">
        <v>508</v>
      </c>
      <c r="D248" s="31" t="s">
        <v>509</v>
      </c>
      <c r="E248" s="29" t="s">
        <v>510</v>
      </c>
      <c r="F248" s="33"/>
      <c r="G248" s="33"/>
      <c r="H248" s="33" t="s">
        <v>511</v>
      </c>
      <c r="I248" s="33" t="s">
        <v>33</v>
      </c>
      <c r="J248" s="78">
        <v>91.1</v>
      </c>
      <c r="K248" s="78">
        <v>90.6</v>
      </c>
      <c r="L248" s="78">
        <v>94.2</v>
      </c>
      <c r="M248" s="78">
        <v>0</v>
      </c>
      <c r="N248" s="78">
        <v>0</v>
      </c>
      <c r="O248" s="78">
        <v>0</v>
      </c>
    </row>
    <row r="249" spans="1:21" s="74" customFormat="1" ht="45" customHeight="1" x14ac:dyDescent="0.25">
      <c r="A249" s="406"/>
      <c r="B249" s="406"/>
      <c r="C249" s="186" t="s">
        <v>508</v>
      </c>
      <c r="D249" s="31" t="s">
        <v>512</v>
      </c>
      <c r="E249" s="29" t="s">
        <v>513</v>
      </c>
      <c r="F249" s="33"/>
      <c r="G249" s="33"/>
      <c r="H249" s="33" t="s">
        <v>511</v>
      </c>
      <c r="I249" s="187" t="s">
        <v>514</v>
      </c>
      <c r="J249" s="78">
        <v>94233.1</v>
      </c>
      <c r="K249" s="78">
        <v>94233</v>
      </c>
      <c r="L249" s="78">
        <v>96372.5</v>
      </c>
      <c r="M249" s="78">
        <v>99736.4</v>
      </c>
      <c r="N249" s="78">
        <v>64346.1</v>
      </c>
      <c r="O249" s="78">
        <v>67563.399999999994</v>
      </c>
      <c r="P249" s="155"/>
    </row>
    <row r="250" spans="1:21" s="74" customFormat="1" ht="45" customHeight="1" x14ac:dyDescent="0.25">
      <c r="A250" s="356">
        <v>902</v>
      </c>
      <c r="B250" s="356" t="s">
        <v>515</v>
      </c>
      <c r="C250" s="154" t="s">
        <v>516</v>
      </c>
      <c r="D250" s="83"/>
      <c r="E250" s="29" t="s">
        <v>517</v>
      </c>
      <c r="F250" s="33" t="s">
        <v>137</v>
      </c>
      <c r="G250" s="33" t="s">
        <v>20</v>
      </c>
      <c r="H250" s="33"/>
      <c r="I250" s="33"/>
      <c r="J250" s="78">
        <f>J251+J252+J253</f>
        <v>0</v>
      </c>
      <c r="K250" s="78">
        <f t="shared" ref="K250:O250" si="57">K251+K252+K253</f>
        <v>0</v>
      </c>
      <c r="L250" s="78">
        <f t="shared" si="57"/>
        <v>0</v>
      </c>
      <c r="M250" s="78">
        <f t="shared" si="57"/>
        <v>0</v>
      </c>
      <c r="N250" s="78">
        <f t="shared" si="57"/>
        <v>0</v>
      </c>
      <c r="O250" s="78">
        <f t="shared" si="57"/>
        <v>0</v>
      </c>
      <c r="P250" s="155"/>
    </row>
    <row r="251" spans="1:21" s="74" customFormat="1" ht="45" customHeight="1" x14ac:dyDescent="0.25">
      <c r="A251" s="357"/>
      <c r="B251" s="357"/>
      <c r="C251" s="154"/>
      <c r="D251" s="83"/>
      <c r="E251" s="29"/>
      <c r="F251" s="33"/>
      <c r="G251" s="33"/>
      <c r="H251" s="33" t="s">
        <v>518</v>
      </c>
      <c r="I251" s="33" t="s">
        <v>514</v>
      </c>
      <c r="J251" s="78"/>
      <c r="K251" s="78"/>
      <c r="L251" s="78">
        <v>0</v>
      </c>
      <c r="M251" s="78">
        <v>0</v>
      </c>
      <c r="N251" s="78">
        <v>0</v>
      </c>
      <c r="O251" s="78">
        <v>0</v>
      </c>
      <c r="P251" s="155"/>
    </row>
    <row r="252" spans="1:21" s="74" customFormat="1" ht="45" customHeight="1" x14ac:dyDescent="0.25">
      <c r="A252" s="357"/>
      <c r="B252" s="357"/>
      <c r="C252" s="154"/>
      <c r="D252" s="83"/>
      <c r="E252" s="29"/>
      <c r="F252" s="33"/>
      <c r="G252" s="33"/>
      <c r="H252" s="33" t="s">
        <v>519</v>
      </c>
      <c r="I252" s="33" t="s">
        <v>514</v>
      </c>
      <c r="J252" s="78"/>
      <c r="K252" s="78"/>
      <c r="L252" s="78">
        <v>0</v>
      </c>
      <c r="M252" s="78">
        <v>0</v>
      </c>
      <c r="N252" s="78">
        <v>0</v>
      </c>
      <c r="O252" s="78">
        <v>0</v>
      </c>
      <c r="P252" s="155"/>
    </row>
    <row r="253" spans="1:21" s="74" customFormat="1" ht="45" customHeight="1" x14ac:dyDescent="0.25">
      <c r="A253" s="357"/>
      <c r="B253" s="407"/>
      <c r="C253" s="154"/>
      <c r="D253" s="83"/>
      <c r="E253" s="29"/>
      <c r="F253" s="33"/>
      <c r="G253" s="33"/>
      <c r="H253" s="33" t="s">
        <v>519</v>
      </c>
      <c r="I253" s="33" t="s">
        <v>514</v>
      </c>
      <c r="J253" s="78"/>
      <c r="K253" s="78"/>
      <c r="L253" s="78">
        <v>0</v>
      </c>
      <c r="M253" s="78">
        <v>0</v>
      </c>
      <c r="N253" s="78">
        <v>0</v>
      </c>
      <c r="O253" s="78">
        <v>0</v>
      </c>
      <c r="P253" s="155"/>
    </row>
    <row r="254" spans="1:21" s="74" customFormat="1" ht="45" customHeight="1" x14ac:dyDescent="0.25">
      <c r="A254" s="356">
        <v>902</v>
      </c>
      <c r="B254" s="356" t="s">
        <v>520</v>
      </c>
      <c r="C254" s="154" t="s">
        <v>521</v>
      </c>
      <c r="D254" s="83"/>
      <c r="E254" s="29" t="s">
        <v>522</v>
      </c>
      <c r="F254" s="33" t="s">
        <v>20</v>
      </c>
      <c r="G254" s="33" t="s">
        <v>146</v>
      </c>
      <c r="H254" s="33" t="s">
        <v>523</v>
      </c>
      <c r="I254" s="33"/>
      <c r="J254" s="78">
        <f t="shared" ref="J254:O254" si="58">J255+J256</f>
        <v>0</v>
      </c>
      <c r="K254" s="78">
        <f t="shared" si="58"/>
        <v>0</v>
      </c>
      <c r="L254" s="78">
        <f t="shared" si="58"/>
        <v>0</v>
      </c>
      <c r="M254" s="78">
        <f t="shared" si="58"/>
        <v>0</v>
      </c>
      <c r="N254" s="78">
        <f t="shared" si="58"/>
        <v>0</v>
      </c>
      <c r="O254" s="78">
        <f t="shared" si="58"/>
        <v>0</v>
      </c>
      <c r="P254" s="155"/>
    </row>
    <row r="255" spans="1:21" s="74" customFormat="1" ht="45" customHeight="1" x14ac:dyDescent="0.25">
      <c r="A255" s="357"/>
      <c r="B255" s="357"/>
      <c r="C255" s="154"/>
      <c r="D255" s="83"/>
      <c r="E255" s="29"/>
      <c r="F255" s="33"/>
      <c r="G255" s="33"/>
      <c r="H255" s="33"/>
      <c r="I255" s="33" t="s">
        <v>33</v>
      </c>
      <c r="J255" s="78"/>
      <c r="K255" s="78"/>
      <c r="L255" s="78">
        <v>0</v>
      </c>
      <c r="M255" s="78">
        <v>0</v>
      </c>
      <c r="N255" s="78">
        <v>0</v>
      </c>
      <c r="O255" s="78">
        <v>0</v>
      </c>
      <c r="P255" s="155"/>
    </row>
    <row r="256" spans="1:21" s="74" customFormat="1" ht="45" customHeight="1" x14ac:dyDescent="0.25">
      <c r="A256" s="407"/>
      <c r="B256" s="407"/>
      <c r="C256" s="154"/>
      <c r="D256" s="83"/>
      <c r="E256" s="29"/>
      <c r="F256" s="33"/>
      <c r="G256" s="33"/>
      <c r="H256" s="33"/>
      <c r="I256" s="33" t="s">
        <v>93</v>
      </c>
      <c r="J256" s="78"/>
      <c r="K256" s="78"/>
      <c r="L256" s="78">
        <v>0</v>
      </c>
      <c r="M256" s="78">
        <v>0</v>
      </c>
      <c r="N256" s="78">
        <v>0</v>
      </c>
      <c r="O256" s="78">
        <v>0</v>
      </c>
      <c r="P256" s="155"/>
    </row>
    <row r="257" spans="1:21" s="188" customFormat="1" ht="45" customHeight="1" x14ac:dyDescent="0.25">
      <c r="A257" s="427" t="s">
        <v>524</v>
      </c>
      <c r="B257" s="428"/>
      <c r="C257" s="428"/>
      <c r="D257" s="428"/>
      <c r="E257" s="428"/>
      <c r="F257" s="428"/>
      <c r="G257" s="428"/>
      <c r="H257" s="428"/>
      <c r="I257" s="429"/>
      <c r="J257" s="205">
        <f t="shared" ref="J257:O257" si="59">J258+J263+J264+J266+J271+J276+J281+J285+J290+J294+J299+J301+J302+J307+J309+J314</f>
        <v>51017.46</v>
      </c>
      <c r="K257" s="205">
        <f t="shared" si="59"/>
        <v>50751.979999999996</v>
      </c>
      <c r="L257" s="205">
        <f t="shared" si="59"/>
        <v>53671.5</v>
      </c>
      <c r="M257" s="205">
        <f t="shared" si="59"/>
        <v>55947.199999999997</v>
      </c>
      <c r="N257" s="205">
        <f t="shared" si="59"/>
        <v>57396.5</v>
      </c>
      <c r="O257" s="205">
        <f t="shared" si="59"/>
        <v>58509.799999999996</v>
      </c>
    </row>
    <row r="258" spans="1:21" s="188" customFormat="1" ht="45" customHeight="1" x14ac:dyDescent="0.25">
      <c r="A258" s="356">
        <v>902</v>
      </c>
      <c r="B258" s="436" t="s">
        <v>525</v>
      </c>
      <c r="C258" s="107" t="s">
        <v>526</v>
      </c>
      <c r="D258" s="70" t="s">
        <v>527</v>
      </c>
      <c r="E258" s="70" t="s">
        <v>528</v>
      </c>
      <c r="F258" s="70" t="s">
        <v>20</v>
      </c>
      <c r="G258" s="70" t="s">
        <v>73</v>
      </c>
      <c r="H258" s="70" t="s">
        <v>529</v>
      </c>
      <c r="I258" s="33"/>
      <c r="J258" s="205">
        <f>J259+J260+J261+J262</f>
        <v>1447.2</v>
      </c>
      <c r="K258" s="205">
        <f t="shared" ref="K258:O258" si="60">K259+K260+K261+K262</f>
        <v>1447.2</v>
      </c>
      <c r="L258" s="205">
        <f t="shared" si="60"/>
        <v>1460</v>
      </c>
      <c r="M258" s="205">
        <f t="shared" si="60"/>
        <v>1512</v>
      </c>
      <c r="N258" s="205">
        <f t="shared" si="60"/>
        <v>1552</v>
      </c>
      <c r="O258" s="205">
        <f t="shared" si="60"/>
        <v>1552</v>
      </c>
      <c r="P258" s="189"/>
    </row>
    <row r="259" spans="1:21" s="114" customFormat="1" ht="45" customHeight="1" x14ac:dyDescent="0.25">
      <c r="A259" s="357"/>
      <c r="B259" s="437"/>
      <c r="C259" s="33" t="s">
        <v>116</v>
      </c>
      <c r="D259" s="82" t="s">
        <v>105</v>
      </c>
      <c r="E259" s="33" t="s">
        <v>117</v>
      </c>
      <c r="F259" s="70"/>
      <c r="G259" s="70"/>
      <c r="H259" s="33"/>
      <c r="I259" s="33" t="s">
        <v>27</v>
      </c>
      <c r="J259" s="190">
        <v>989.2</v>
      </c>
      <c r="K259" s="190">
        <v>989.2</v>
      </c>
      <c r="L259" s="190">
        <v>1002</v>
      </c>
      <c r="M259" s="190">
        <v>1030</v>
      </c>
      <c r="N259" s="190">
        <v>1070</v>
      </c>
      <c r="O259" s="190">
        <v>1070</v>
      </c>
    </row>
    <row r="260" spans="1:21" s="114" customFormat="1" ht="45" customHeight="1" x14ac:dyDescent="0.25">
      <c r="A260" s="357"/>
      <c r="B260" s="437"/>
      <c r="C260" s="75" t="s">
        <v>530</v>
      </c>
      <c r="D260" s="31" t="s">
        <v>79</v>
      </c>
      <c r="E260" s="33" t="s">
        <v>108</v>
      </c>
      <c r="F260" s="70"/>
      <c r="G260" s="70"/>
      <c r="H260" s="33"/>
      <c r="I260" s="33" t="s">
        <v>30</v>
      </c>
      <c r="J260" s="191">
        <v>0</v>
      </c>
      <c r="K260" s="191">
        <v>0</v>
      </c>
      <c r="L260" s="191">
        <v>0</v>
      </c>
      <c r="M260" s="191">
        <v>0</v>
      </c>
      <c r="N260" s="191">
        <v>0</v>
      </c>
      <c r="O260" s="191">
        <v>0</v>
      </c>
    </row>
    <row r="261" spans="1:21" s="114" customFormat="1" ht="45" customHeight="1" x14ac:dyDescent="0.25">
      <c r="A261" s="357"/>
      <c r="B261" s="437"/>
      <c r="C261" s="24" t="s">
        <v>531</v>
      </c>
      <c r="D261" s="143"/>
      <c r="E261" s="144" t="s">
        <v>532</v>
      </c>
      <c r="F261" s="70"/>
      <c r="G261" s="70"/>
      <c r="H261" s="33"/>
      <c r="I261" s="33" t="s">
        <v>28</v>
      </c>
      <c r="J261" s="191">
        <v>294.5</v>
      </c>
      <c r="K261" s="191">
        <v>294.5</v>
      </c>
      <c r="L261" s="191">
        <v>296</v>
      </c>
      <c r="M261" s="191">
        <v>320</v>
      </c>
      <c r="N261" s="191">
        <v>320</v>
      </c>
      <c r="O261" s="191">
        <v>320</v>
      </c>
    </row>
    <row r="262" spans="1:21" s="114" customFormat="1" ht="45" customHeight="1" x14ac:dyDescent="0.25">
      <c r="A262" s="357"/>
      <c r="B262" s="437"/>
      <c r="C262" s="27" t="s">
        <v>466</v>
      </c>
      <c r="D262" s="47" t="s">
        <v>533</v>
      </c>
      <c r="E262" s="29" t="s">
        <v>534</v>
      </c>
      <c r="F262" s="33"/>
      <c r="G262" s="33"/>
      <c r="H262" s="33"/>
      <c r="I262" s="33" t="s">
        <v>33</v>
      </c>
      <c r="J262" s="191">
        <v>163.5</v>
      </c>
      <c r="K262" s="191">
        <v>163.5</v>
      </c>
      <c r="L262" s="191">
        <v>162</v>
      </c>
      <c r="M262" s="191">
        <v>162</v>
      </c>
      <c r="N262" s="191">
        <v>162</v>
      </c>
      <c r="O262" s="191">
        <v>162</v>
      </c>
    </row>
    <row r="263" spans="1:21" s="74" customFormat="1" ht="45" customHeight="1" x14ac:dyDescent="0.25">
      <c r="A263" s="357"/>
      <c r="B263" s="212" t="s">
        <v>535</v>
      </c>
      <c r="C263" s="70" t="s">
        <v>536</v>
      </c>
      <c r="D263" s="70"/>
      <c r="E263" s="70" t="s">
        <v>537</v>
      </c>
      <c r="F263" s="70" t="s">
        <v>220</v>
      </c>
      <c r="G263" s="70" t="s">
        <v>73</v>
      </c>
      <c r="H263" s="70" t="s">
        <v>538</v>
      </c>
      <c r="I263" s="70" t="s">
        <v>374</v>
      </c>
      <c r="J263" s="237">
        <v>15.6</v>
      </c>
      <c r="K263" s="237">
        <v>10.4</v>
      </c>
      <c r="L263" s="237">
        <v>10.4</v>
      </c>
      <c r="M263" s="237">
        <v>0</v>
      </c>
      <c r="N263" s="237">
        <v>0</v>
      </c>
      <c r="O263" s="237">
        <v>0</v>
      </c>
    </row>
    <row r="264" spans="1:21" s="74" customFormat="1" ht="45" customHeight="1" x14ac:dyDescent="0.25">
      <c r="A264" s="357">
        <v>902</v>
      </c>
      <c r="B264" s="436" t="s">
        <v>539</v>
      </c>
      <c r="C264" s="70" t="s">
        <v>540</v>
      </c>
      <c r="D264" s="238"/>
      <c r="E264" s="70" t="s">
        <v>541</v>
      </c>
      <c r="F264" s="70" t="s">
        <v>73</v>
      </c>
      <c r="G264" s="70" t="s">
        <v>137</v>
      </c>
      <c r="H264" s="70"/>
      <c r="I264" s="70"/>
      <c r="J264" s="205">
        <f>J265</f>
        <v>2584.8000000000002</v>
      </c>
      <c r="K264" s="205">
        <f t="shared" ref="K264:O264" si="61">K265</f>
        <v>2548</v>
      </c>
      <c r="L264" s="205">
        <f t="shared" si="61"/>
        <v>1187.5999999999999</v>
      </c>
      <c r="M264" s="205">
        <f t="shared" si="61"/>
        <v>923.7</v>
      </c>
      <c r="N264" s="205">
        <f t="shared" si="61"/>
        <v>923.7</v>
      </c>
      <c r="O264" s="205">
        <f t="shared" si="61"/>
        <v>923.7</v>
      </c>
      <c r="P264" s="155"/>
      <c r="Q264" s="73"/>
      <c r="R264" s="73"/>
      <c r="S264" s="73"/>
      <c r="T264" s="73"/>
      <c r="U264" s="73"/>
    </row>
    <row r="265" spans="1:21" s="74" customFormat="1" ht="45" customHeight="1" x14ac:dyDescent="0.25">
      <c r="A265" s="357"/>
      <c r="B265" s="439"/>
      <c r="C265" s="33" t="s">
        <v>542</v>
      </c>
      <c r="D265" s="56"/>
      <c r="E265" s="33" t="s">
        <v>543</v>
      </c>
      <c r="F265" s="33"/>
      <c r="G265" s="33"/>
      <c r="H265" s="33" t="s">
        <v>544</v>
      </c>
      <c r="I265" s="33" t="s">
        <v>33</v>
      </c>
      <c r="J265" s="190">
        <v>2584.8000000000002</v>
      </c>
      <c r="K265" s="190">
        <v>2548</v>
      </c>
      <c r="L265" s="190">
        <v>1187.5999999999999</v>
      </c>
      <c r="M265" s="190">
        <v>923.7</v>
      </c>
      <c r="N265" s="190">
        <v>923.7</v>
      </c>
      <c r="O265" s="190">
        <v>923.7</v>
      </c>
    </row>
    <row r="266" spans="1:21" s="188" customFormat="1" ht="45" customHeight="1" x14ac:dyDescent="0.25">
      <c r="A266" s="356">
        <v>902</v>
      </c>
      <c r="B266" s="436" t="s">
        <v>545</v>
      </c>
      <c r="C266" s="225" t="s">
        <v>546</v>
      </c>
      <c r="D266" s="94" t="s">
        <v>547</v>
      </c>
      <c r="E266" s="70" t="s">
        <v>548</v>
      </c>
      <c r="F266" s="70" t="s">
        <v>20</v>
      </c>
      <c r="G266" s="70" t="s">
        <v>73</v>
      </c>
      <c r="H266" s="70" t="s">
        <v>549</v>
      </c>
      <c r="I266" s="33"/>
      <c r="J266" s="205">
        <f>J267+J268+J269+J270</f>
        <v>3923.6</v>
      </c>
      <c r="K266" s="205">
        <f t="shared" ref="K266:O266" si="62">K267+K268+K269+K270</f>
        <v>3923.6</v>
      </c>
      <c r="L266" s="205">
        <f t="shared" si="62"/>
        <v>3959.6</v>
      </c>
      <c r="M266" s="205">
        <f t="shared" si="62"/>
        <v>4104.8</v>
      </c>
      <c r="N266" s="205">
        <f t="shared" si="62"/>
        <v>4217.2</v>
      </c>
      <c r="O266" s="205">
        <f t="shared" si="62"/>
        <v>4217.2</v>
      </c>
      <c r="P266" s="192"/>
    </row>
    <row r="267" spans="1:21" s="114" customFormat="1" ht="45" customHeight="1" x14ac:dyDescent="0.25">
      <c r="A267" s="357"/>
      <c r="B267" s="439"/>
      <c r="C267" s="33" t="s">
        <v>116</v>
      </c>
      <c r="D267" s="82" t="s">
        <v>105</v>
      </c>
      <c r="E267" s="99" t="s">
        <v>117</v>
      </c>
      <c r="F267" s="33"/>
      <c r="G267" s="33"/>
      <c r="H267" s="33"/>
      <c r="I267" s="33" t="s">
        <v>27</v>
      </c>
      <c r="J267" s="190">
        <v>2763.1</v>
      </c>
      <c r="K267" s="190">
        <v>2763.1</v>
      </c>
      <c r="L267" s="190">
        <v>2832.6</v>
      </c>
      <c r="M267" s="190">
        <v>2830.8</v>
      </c>
      <c r="N267" s="190">
        <v>2943.2</v>
      </c>
      <c r="O267" s="190">
        <v>2943.2</v>
      </c>
    </row>
    <row r="268" spans="1:21" s="114" customFormat="1" ht="45" customHeight="1" x14ac:dyDescent="0.25">
      <c r="A268" s="357"/>
      <c r="B268" s="439"/>
      <c r="C268" s="29" t="s">
        <v>550</v>
      </c>
      <c r="D268" s="31" t="s">
        <v>79</v>
      </c>
      <c r="E268" s="33" t="s">
        <v>108</v>
      </c>
      <c r="F268" s="33"/>
      <c r="G268" s="33"/>
      <c r="H268" s="33"/>
      <c r="I268" s="33" t="s">
        <v>30</v>
      </c>
      <c r="J268" s="191">
        <v>19.399999999999999</v>
      </c>
      <c r="K268" s="191">
        <v>19.399999999999999</v>
      </c>
      <c r="L268" s="191">
        <v>32.799999999999997</v>
      </c>
      <c r="M268" s="191">
        <v>0</v>
      </c>
      <c r="N268" s="191">
        <v>0</v>
      </c>
      <c r="O268" s="191">
        <v>0</v>
      </c>
    </row>
    <row r="269" spans="1:21" s="114" customFormat="1" ht="45" customHeight="1" x14ac:dyDescent="0.25">
      <c r="A269" s="357"/>
      <c r="B269" s="439"/>
      <c r="C269" s="27" t="s">
        <v>280</v>
      </c>
      <c r="D269" s="143"/>
      <c r="E269" s="144" t="s">
        <v>532</v>
      </c>
      <c r="F269" s="33"/>
      <c r="G269" s="33"/>
      <c r="H269" s="33"/>
      <c r="I269" s="33" t="s">
        <v>28</v>
      </c>
      <c r="J269" s="190">
        <v>817</v>
      </c>
      <c r="K269" s="190">
        <v>817</v>
      </c>
      <c r="L269" s="190">
        <v>781.8</v>
      </c>
      <c r="M269" s="190">
        <v>950</v>
      </c>
      <c r="N269" s="190">
        <v>950</v>
      </c>
      <c r="O269" s="190">
        <v>950</v>
      </c>
    </row>
    <row r="270" spans="1:21" s="114" customFormat="1" ht="45" customHeight="1" x14ac:dyDescent="0.25">
      <c r="A270" s="407"/>
      <c r="B270" s="440"/>
      <c r="C270" s="193" t="s">
        <v>298</v>
      </c>
      <c r="D270" s="33" t="s">
        <v>551</v>
      </c>
      <c r="E270" s="33" t="s">
        <v>157</v>
      </c>
      <c r="F270" s="33"/>
      <c r="G270" s="33"/>
      <c r="H270" s="33"/>
      <c r="I270" s="33" t="s">
        <v>33</v>
      </c>
      <c r="J270" s="190">
        <v>324.10000000000002</v>
      </c>
      <c r="K270" s="190">
        <v>324.10000000000002</v>
      </c>
      <c r="L270" s="190">
        <v>312.39999999999998</v>
      </c>
      <c r="M270" s="190">
        <v>324</v>
      </c>
      <c r="N270" s="190">
        <v>324</v>
      </c>
      <c r="O270" s="190">
        <v>324</v>
      </c>
    </row>
    <row r="271" spans="1:21" s="188" customFormat="1" ht="45" customHeight="1" x14ac:dyDescent="0.25">
      <c r="A271" s="356">
        <v>902</v>
      </c>
      <c r="B271" s="356" t="s">
        <v>552</v>
      </c>
      <c r="C271" s="225" t="s">
        <v>553</v>
      </c>
      <c r="D271" s="94" t="s">
        <v>554</v>
      </c>
      <c r="E271" s="70" t="s">
        <v>555</v>
      </c>
      <c r="F271" s="168" t="s">
        <v>20</v>
      </c>
      <c r="G271" s="168" t="s">
        <v>73</v>
      </c>
      <c r="H271" s="168" t="s">
        <v>556</v>
      </c>
      <c r="I271" s="31"/>
      <c r="J271" s="169">
        <f>J272+J273+J274+J275</f>
        <v>9631.2000000000007</v>
      </c>
      <c r="K271" s="169">
        <f t="shared" ref="K271:O271" si="63">K272+K273+K274+K275</f>
        <v>9631.2000000000007</v>
      </c>
      <c r="L271" s="169">
        <f t="shared" si="63"/>
        <v>9717.7000000000007</v>
      </c>
      <c r="M271" s="169">
        <f t="shared" si="63"/>
        <v>10068</v>
      </c>
      <c r="N271" s="169">
        <f t="shared" si="63"/>
        <v>10338</v>
      </c>
      <c r="O271" s="169">
        <f t="shared" si="63"/>
        <v>10338</v>
      </c>
      <c r="P271" s="192"/>
    </row>
    <row r="272" spans="1:21" s="114" customFormat="1" ht="45" customHeight="1" x14ac:dyDescent="0.25">
      <c r="A272" s="431"/>
      <c r="B272" s="357"/>
      <c r="C272" s="33" t="s">
        <v>116</v>
      </c>
      <c r="D272" s="82" t="s">
        <v>105</v>
      </c>
      <c r="E272" s="99" t="s">
        <v>117</v>
      </c>
      <c r="F272" s="31"/>
      <c r="G272" s="31"/>
      <c r="H272" s="31"/>
      <c r="I272" s="31" t="s">
        <v>27</v>
      </c>
      <c r="J272" s="160">
        <v>6619.3</v>
      </c>
      <c r="K272" s="160">
        <v>6619.3</v>
      </c>
      <c r="L272" s="160">
        <v>6722.2</v>
      </c>
      <c r="M272" s="160">
        <v>6596</v>
      </c>
      <c r="N272" s="160">
        <v>6866</v>
      </c>
      <c r="O272" s="160">
        <v>6866</v>
      </c>
    </row>
    <row r="273" spans="1:16" s="114" customFormat="1" ht="45" customHeight="1" x14ac:dyDescent="0.25">
      <c r="A273" s="431"/>
      <c r="B273" s="357"/>
      <c r="C273" s="29" t="s">
        <v>557</v>
      </c>
      <c r="D273" s="31" t="s">
        <v>79</v>
      </c>
      <c r="E273" s="33" t="s">
        <v>108</v>
      </c>
      <c r="F273" s="31"/>
      <c r="G273" s="31"/>
      <c r="H273" s="31"/>
      <c r="I273" s="31" t="s">
        <v>30</v>
      </c>
      <c r="J273" s="160">
        <v>64.7</v>
      </c>
      <c r="K273" s="160">
        <v>64.7</v>
      </c>
      <c r="L273" s="160">
        <v>16.100000000000001</v>
      </c>
      <c r="M273" s="160">
        <v>0</v>
      </c>
      <c r="N273" s="160">
        <v>0</v>
      </c>
      <c r="O273" s="160">
        <v>0</v>
      </c>
    </row>
    <row r="274" spans="1:16" s="114" customFormat="1" ht="45" customHeight="1" x14ac:dyDescent="0.25">
      <c r="A274" s="431"/>
      <c r="B274" s="357"/>
      <c r="C274" s="27" t="s">
        <v>531</v>
      </c>
      <c r="D274" s="143"/>
      <c r="E274" s="144" t="s">
        <v>558</v>
      </c>
      <c r="F274" s="31"/>
      <c r="G274" s="31"/>
      <c r="H274" s="31"/>
      <c r="I274" s="31" t="s">
        <v>28</v>
      </c>
      <c r="J274" s="160">
        <v>1973.5</v>
      </c>
      <c r="K274" s="160">
        <v>1973.5</v>
      </c>
      <c r="L274" s="160">
        <v>2007.4</v>
      </c>
      <c r="M274" s="160">
        <v>2500</v>
      </c>
      <c r="N274" s="160">
        <v>2500</v>
      </c>
      <c r="O274" s="160">
        <v>2500</v>
      </c>
    </row>
    <row r="275" spans="1:16" s="114" customFormat="1" ht="45" customHeight="1" x14ac:dyDescent="0.25">
      <c r="A275" s="432"/>
      <c r="B275" s="407"/>
      <c r="C275" s="193" t="s">
        <v>298</v>
      </c>
      <c r="D275" s="33" t="s">
        <v>345</v>
      </c>
      <c r="E275" s="29" t="s">
        <v>157</v>
      </c>
      <c r="F275" s="31"/>
      <c r="G275" s="31"/>
      <c r="H275" s="31"/>
      <c r="I275" s="31" t="s">
        <v>33</v>
      </c>
      <c r="J275" s="160">
        <v>973.7</v>
      </c>
      <c r="K275" s="160">
        <v>973.7</v>
      </c>
      <c r="L275" s="160">
        <v>972</v>
      </c>
      <c r="M275" s="160">
        <v>972</v>
      </c>
      <c r="N275" s="160">
        <v>972</v>
      </c>
      <c r="O275" s="160">
        <v>972</v>
      </c>
    </row>
    <row r="276" spans="1:16" s="114" customFormat="1" ht="45" customHeight="1" x14ac:dyDescent="0.25">
      <c r="A276" s="356">
        <v>902</v>
      </c>
      <c r="B276" s="433" t="s">
        <v>559</v>
      </c>
      <c r="C276" s="225" t="s">
        <v>560</v>
      </c>
      <c r="D276" s="94" t="s">
        <v>561</v>
      </c>
      <c r="E276" s="70" t="s">
        <v>562</v>
      </c>
      <c r="F276" s="168" t="s">
        <v>20</v>
      </c>
      <c r="G276" s="168" t="s">
        <v>73</v>
      </c>
      <c r="H276" s="168" t="s">
        <v>563</v>
      </c>
      <c r="I276" s="31"/>
      <c r="J276" s="169">
        <f>J277+J278+J279+J280</f>
        <v>984.5</v>
      </c>
      <c r="K276" s="169">
        <f t="shared" ref="K276:O276" si="64">K277+K278+K279+K280</f>
        <v>887.1</v>
      </c>
      <c r="L276" s="169">
        <f t="shared" si="64"/>
        <v>992.6</v>
      </c>
      <c r="M276" s="169">
        <f t="shared" si="64"/>
        <v>1025.8</v>
      </c>
      <c r="N276" s="169">
        <f t="shared" si="64"/>
        <v>1051.4000000000001</v>
      </c>
      <c r="O276" s="169">
        <f t="shared" si="64"/>
        <v>1051.4000000000001</v>
      </c>
      <c r="P276" s="129"/>
    </row>
    <row r="277" spans="1:16" s="114" customFormat="1" ht="45" customHeight="1" x14ac:dyDescent="0.25">
      <c r="A277" s="431"/>
      <c r="B277" s="434"/>
      <c r="C277" s="33" t="s">
        <v>116</v>
      </c>
      <c r="D277" s="82" t="s">
        <v>105</v>
      </c>
      <c r="E277" s="33" t="s">
        <v>117</v>
      </c>
      <c r="F277" s="83"/>
      <c r="G277" s="83"/>
      <c r="H277" s="83"/>
      <c r="I277" s="83" t="s">
        <v>27</v>
      </c>
      <c r="J277" s="163">
        <v>622.1</v>
      </c>
      <c r="K277" s="163">
        <v>559.70000000000005</v>
      </c>
      <c r="L277" s="163">
        <v>649</v>
      </c>
      <c r="M277" s="163">
        <v>653.79999999999995</v>
      </c>
      <c r="N277" s="163">
        <v>679.4</v>
      </c>
      <c r="O277" s="163">
        <v>679.4</v>
      </c>
    </row>
    <row r="278" spans="1:16" s="114" customFormat="1" ht="45" customHeight="1" x14ac:dyDescent="0.25">
      <c r="A278" s="431"/>
      <c r="B278" s="434"/>
      <c r="C278" s="29" t="s">
        <v>564</v>
      </c>
      <c r="D278" s="31" t="s">
        <v>79</v>
      </c>
      <c r="E278" s="33" t="s">
        <v>108</v>
      </c>
      <c r="F278" s="83"/>
      <c r="G278" s="83"/>
      <c r="H278" s="83"/>
      <c r="I278" s="83" t="s">
        <v>30</v>
      </c>
      <c r="J278" s="163">
        <v>6</v>
      </c>
      <c r="K278" s="163">
        <v>0</v>
      </c>
      <c r="L278" s="163">
        <v>0</v>
      </c>
      <c r="M278" s="163">
        <v>0</v>
      </c>
      <c r="N278" s="163">
        <v>0</v>
      </c>
      <c r="O278" s="163">
        <v>0</v>
      </c>
    </row>
    <row r="279" spans="1:16" s="114" customFormat="1" ht="45" customHeight="1" x14ac:dyDescent="0.25">
      <c r="A279" s="431"/>
      <c r="B279" s="434"/>
      <c r="C279" s="27" t="s">
        <v>280</v>
      </c>
      <c r="D279" s="143"/>
      <c r="E279" s="144" t="s">
        <v>119</v>
      </c>
      <c r="F279" s="83"/>
      <c r="G279" s="83"/>
      <c r="H279" s="83"/>
      <c r="I279" s="83" t="s">
        <v>28</v>
      </c>
      <c r="J279" s="163">
        <v>194.4</v>
      </c>
      <c r="K279" s="163">
        <v>165.4</v>
      </c>
      <c r="L279" s="163">
        <v>181.6</v>
      </c>
      <c r="M279" s="163">
        <v>210</v>
      </c>
      <c r="N279" s="163">
        <v>210</v>
      </c>
      <c r="O279" s="163">
        <v>210</v>
      </c>
    </row>
    <row r="280" spans="1:16" s="114" customFormat="1" ht="45" customHeight="1" x14ac:dyDescent="0.25">
      <c r="A280" s="432"/>
      <c r="B280" s="435"/>
      <c r="C280" s="193" t="s">
        <v>298</v>
      </c>
      <c r="D280" s="194" t="s">
        <v>551</v>
      </c>
      <c r="E280" s="33" t="s">
        <v>565</v>
      </c>
      <c r="F280" s="83"/>
      <c r="G280" s="83"/>
      <c r="H280" s="83"/>
      <c r="I280" s="83" t="s">
        <v>33</v>
      </c>
      <c r="J280" s="163">
        <v>162</v>
      </c>
      <c r="K280" s="163">
        <v>162</v>
      </c>
      <c r="L280" s="163">
        <v>162</v>
      </c>
      <c r="M280" s="163">
        <v>162</v>
      </c>
      <c r="N280" s="163">
        <v>162</v>
      </c>
      <c r="O280" s="163">
        <v>162</v>
      </c>
    </row>
    <row r="281" spans="1:16" s="109" customFormat="1" ht="45" customHeight="1" x14ac:dyDescent="0.25">
      <c r="A281" s="356">
        <v>902</v>
      </c>
      <c r="B281" s="436" t="s">
        <v>566</v>
      </c>
      <c r="C281" s="107" t="s">
        <v>567</v>
      </c>
      <c r="D281" s="239" t="s">
        <v>568</v>
      </c>
      <c r="E281" s="210" t="s">
        <v>569</v>
      </c>
      <c r="F281" s="168" t="s">
        <v>20</v>
      </c>
      <c r="G281" s="168" t="s">
        <v>73</v>
      </c>
      <c r="H281" s="168" t="s">
        <v>570</v>
      </c>
      <c r="I281" s="168"/>
      <c r="J281" s="169">
        <f>J282+J283+J284</f>
        <v>63</v>
      </c>
      <c r="K281" s="169">
        <f t="shared" ref="K281:O281" si="65">K282+K283+K284</f>
        <v>0</v>
      </c>
      <c r="L281" s="169">
        <f t="shared" si="65"/>
        <v>63</v>
      </c>
      <c r="M281" s="169">
        <f t="shared" si="65"/>
        <v>63</v>
      </c>
      <c r="N281" s="169">
        <f t="shared" si="65"/>
        <v>63</v>
      </c>
      <c r="O281" s="169">
        <f t="shared" si="65"/>
        <v>63</v>
      </c>
    </row>
    <row r="282" spans="1:16" s="114" customFormat="1" ht="45" customHeight="1" x14ac:dyDescent="0.25">
      <c r="A282" s="357"/>
      <c r="B282" s="437"/>
      <c r="C282" s="33" t="s">
        <v>116</v>
      </c>
      <c r="D282" s="82" t="s">
        <v>105</v>
      </c>
      <c r="E282" s="33" t="s">
        <v>117</v>
      </c>
      <c r="F282" s="83"/>
      <c r="G282" s="83"/>
      <c r="H282" s="83"/>
      <c r="I282" s="83" t="s">
        <v>27</v>
      </c>
      <c r="J282" s="163">
        <v>41.9</v>
      </c>
      <c r="K282" s="163">
        <v>0</v>
      </c>
      <c r="L282" s="163">
        <v>41.9</v>
      </c>
      <c r="M282" s="163">
        <v>44</v>
      </c>
      <c r="N282" s="163">
        <v>44</v>
      </c>
      <c r="O282" s="163">
        <v>44</v>
      </c>
    </row>
    <row r="283" spans="1:16" s="114" customFormat="1" ht="45" customHeight="1" x14ac:dyDescent="0.25">
      <c r="A283" s="357"/>
      <c r="B283" s="437"/>
      <c r="C283" s="27" t="s">
        <v>280</v>
      </c>
      <c r="D283" s="143"/>
      <c r="E283" s="144" t="s">
        <v>297</v>
      </c>
      <c r="F283" s="83"/>
      <c r="G283" s="83"/>
      <c r="H283" s="83"/>
      <c r="I283" s="83" t="s">
        <v>28</v>
      </c>
      <c r="J283" s="163">
        <v>18.100000000000001</v>
      </c>
      <c r="K283" s="163">
        <v>0</v>
      </c>
      <c r="L283" s="163">
        <v>18.100000000000001</v>
      </c>
      <c r="M283" s="163">
        <v>19</v>
      </c>
      <c r="N283" s="163">
        <v>19</v>
      </c>
      <c r="O283" s="163">
        <v>19</v>
      </c>
    </row>
    <row r="284" spans="1:16" s="114" customFormat="1" ht="45" customHeight="1" x14ac:dyDescent="0.25">
      <c r="A284" s="357"/>
      <c r="B284" s="438"/>
      <c r="C284" s="193" t="s">
        <v>298</v>
      </c>
      <c r="D284" s="33" t="s">
        <v>345</v>
      </c>
      <c r="E284" s="144" t="s">
        <v>571</v>
      </c>
      <c r="F284" s="83"/>
      <c r="G284" s="83"/>
      <c r="H284" s="83"/>
      <c r="I284" s="83" t="s">
        <v>33</v>
      </c>
      <c r="J284" s="163">
        <v>3</v>
      </c>
      <c r="K284" s="163">
        <v>0</v>
      </c>
      <c r="L284" s="163">
        <v>3</v>
      </c>
      <c r="M284" s="163">
        <v>0</v>
      </c>
      <c r="N284" s="163">
        <v>0</v>
      </c>
      <c r="O284" s="163">
        <v>0</v>
      </c>
    </row>
    <row r="285" spans="1:16" s="195" customFormat="1" ht="45" customHeight="1" x14ac:dyDescent="0.25">
      <c r="A285" s="357"/>
      <c r="B285" s="436" t="s">
        <v>572</v>
      </c>
      <c r="C285" s="27" t="s">
        <v>573</v>
      </c>
      <c r="D285" s="239" t="s">
        <v>568</v>
      </c>
      <c r="E285" s="210" t="s">
        <v>569</v>
      </c>
      <c r="F285" s="18" t="s">
        <v>20</v>
      </c>
      <c r="G285" s="18" t="s">
        <v>73</v>
      </c>
      <c r="H285" s="18" t="s">
        <v>574</v>
      </c>
      <c r="I285" s="18"/>
      <c r="J285" s="240">
        <f>SUM(J286:J289)</f>
        <v>275.8</v>
      </c>
      <c r="K285" s="240">
        <f t="shared" ref="K285:O285" si="66">SUM(K286:K289)</f>
        <v>275.8</v>
      </c>
      <c r="L285" s="240">
        <f t="shared" si="66"/>
        <v>729.9</v>
      </c>
      <c r="M285" s="240">
        <f t="shared" si="66"/>
        <v>755.8</v>
      </c>
      <c r="N285" s="240">
        <f t="shared" si="66"/>
        <v>775.9</v>
      </c>
      <c r="O285" s="240">
        <f t="shared" si="66"/>
        <v>775.9</v>
      </c>
    </row>
    <row r="286" spans="1:16" s="114" customFormat="1" ht="45" customHeight="1" x14ac:dyDescent="0.25">
      <c r="A286" s="357"/>
      <c r="B286" s="439"/>
      <c r="C286" s="33" t="s">
        <v>116</v>
      </c>
      <c r="D286" s="82" t="s">
        <v>105</v>
      </c>
      <c r="E286" s="33" t="s">
        <v>117</v>
      </c>
      <c r="F286" s="83"/>
      <c r="G286" s="83"/>
      <c r="H286" s="83"/>
      <c r="I286" s="83" t="s">
        <v>27</v>
      </c>
      <c r="J286" s="163">
        <v>195.9</v>
      </c>
      <c r="K286" s="163">
        <v>195.9</v>
      </c>
      <c r="L286" s="163">
        <v>491.3</v>
      </c>
      <c r="M286" s="163">
        <v>494.8</v>
      </c>
      <c r="N286" s="163">
        <v>514.9</v>
      </c>
      <c r="O286" s="163">
        <v>514.9</v>
      </c>
    </row>
    <row r="287" spans="1:16" s="114" customFormat="1" ht="45" customHeight="1" x14ac:dyDescent="0.25">
      <c r="A287" s="357"/>
      <c r="B287" s="439"/>
      <c r="C287" s="29" t="s">
        <v>564</v>
      </c>
      <c r="D287" s="31" t="s">
        <v>79</v>
      </c>
      <c r="E287" s="33" t="s">
        <v>108</v>
      </c>
      <c r="F287" s="83"/>
      <c r="G287" s="83"/>
      <c r="H287" s="83"/>
      <c r="I287" s="83" t="s">
        <v>30</v>
      </c>
      <c r="J287" s="163">
        <v>0</v>
      </c>
      <c r="K287" s="163">
        <v>0</v>
      </c>
      <c r="L287" s="163">
        <v>0</v>
      </c>
      <c r="M287" s="163">
        <v>0</v>
      </c>
      <c r="N287" s="163">
        <v>0</v>
      </c>
      <c r="O287" s="163">
        <v>0</v>
      </c>
    </row>
    <row r="288" spans="1:16" s="114" customFormat="1" ht="45" customHeight="1" x14ac:dyDescent="0.25">
      <c r="A288" s="357"/>
      <c r="B288" s="439"/>
      <c r="C288" s="27" t="s">
        <v>280</v>
      </c>
      <c r="D288" s="144"/>
      <c r="E288" s="144" t="s">
        <v>575</v>
      </c>
      <c r="F288" s="83"/>
      <c r="G288" s="83"/>
      <c r="H288" s="83"/>
      <c r="I288" s="83" t="s">
        <v>28</v>
      </c>
      <c r="J288" s="163">
        <v>58.7</v>
      </c>
      <c r="K288" s="163">
        <v>58.7</v>
      </c>
      <c r="L288" s="163">
        <v>157.6</v>
      </c>
      <c r="M288" s="163">
        <v>180</v>
      </c>
      <c r="N288" s="163">
        <v>180</v>
      </c>
      <c r="O288" s="163">
        <v>180</v>
      </c>
    </row>
    <row r="289" spans="1:16" s="114" customFormat="1" ht="45" customHeight="1" x14ac:dyDescent="0.25">
      <c r="A289" s="357"/>
      <c r="B289" s="440"/>
      <c r="C289" s="193" t="s">
        <v>298</v>
      </c>
      <c r="D289" s="33" t="s">
        <v>345</v>
      </c>
      <c r="E289" s="144" t="s">
        <v>576</v>
      </c>
      <c r="F289" s="83"/>
      <c r="G289" s="83"/>
      <c r="H289" s="83"/>
      <c r="I289" s="83" t="s">
        <v>33</v>
      </c>
      <c r="J289" s="163">
        <v>21.2</v>
      </c>
      <c r="K289" s="163">
        <v>21.2</v>
      </c>
      <c r="L289" s="163">
        <v>81</v>
      </c>
      <c r="M289" s="163">
        <v>81</v>
      </c>
      <c r="N289" s="163">
        <v>81</v>
      </c>
      <c r="O289" s="163">
        <v>81</v>
      </c>
    </row>
    <row r="290" spans="1:16" s="114" customFormat="1" ht="45" customHeight="1" x14ac:dyDescent="0.25">
      <c r="A290" s="357"/>
      <c r="B290" s="439" t="s">
        <v>577</v>
      </c>
      <c r="C290" s="107" t="s">
        <v>578</v>
      </c>
      <c r="D290" s="239" t="s">
        <v>568</v>
      </c>
      <c r="E290" s="70" t="s">
        <v>579</v>
      </c>
      <c r="F290" s="168" t="s">
        <v>20</v>
      </c>
      <c r="G290" s="168" t="s">
        <v>73</v>
      </c>
      <c r="H290" s="168" t="s">
        <v>580</v>
      </c>
      <c r="I290" s="168"/>
      <c r="J290" s="169">
        <f>J291+J292+J293</f>
        <v>63</v>
      </c>
      <c r="K290" s="169">
        <f t="shared" ref="K290" si="67">K291+K292+K293</f>
        <v>0</v>
      </c>
      <c r="L290" s="169">
        <f>SUM(L291:L293)</f>
        <v>0</v>
      </c>
      <c r="M290" s="169">
        <f t="shared" ref="M290:O290" si="68">SUM(M291:M293)</f>
        <v>0</v>
      </c>
      <c r="N290" s="169">
        <f t="shared" si="68"/>
        <v>0</v>
      </c>
      <c r="O290" s="169">
        <f t="shared" si="68"/>
        <v>0</v>
      </c>
    </row>
    <row r="291" spans="1:16" s="114" customFormat="1" ht="45" customHeight="1" x14ac:dyDescent="0.25">
      <c r="A291" s="211"/>
      <c r="B291" s="439"/>
      <c r="C291" s="33" t="s">
        <v>116</v>
      </c>
      <c r="D291" s="143"/>
      <c r="E291" s="33" t="s">
        <v>117</v>
      </c>
      <c r="F291" s="83"/>
      <c r="G291" s="83"/>
      <c r="H291" s="83"/>
      <c r="I291" s="83" t="s">
        <v>27</v>
      </c>
      <c r="J291" s="163">
        <v>41.9</v>
      </c>
      <c r="K291" s="163">
        <v>0</v>
      </c>
      <c r="L291" s="163"/>
      <c r="M291" s="163">
        <v>0</v>
      </c>
      <c r="N291" s="163">
        <v>0</v>
      </c>
      <c r="O291" s="163">
        <v>0</v>
      </c>
    </row>
    <row r="292" spans="1:16" s="114" customFormat="1" ht="45" customHeight="1" x14ac:dyDescent="0.25">
      <c r="A292" s="211"/>
      <c r="B292" s="439"/>
      <c r="C292" s="154" t="s">
        <v>531</v>
      </c>
      <c r="D292" s="143"/>
      <c r="E292" s="144" t="s">
        <v>581</v>
      </c>
      <c r="F292" s="83"/>
      <c r="G292" s="83"/>
      <c r="H292" s="83"/>
      <c r="I292" s="83" t="s">
        <v>28</v>
      </c>
      <c r="J292" s="163">
        <v>18.100000000000001</v>
      </c>
      <c r="K292" s="163">
        <v>0</v>
      </c>
      <c r="L292" s="163"/>
      <c r="M292" s="163">
        <v>0</v>
      </c>
      <c r="N292" s="163">
        <v>0</v>
      </c>
      <c r="O292" s="163">
        <v>0</v>
      </c>
    </row>
    <row r="293" spans="1:16" s="114" customFormat="1" ht="45" customHeight="1" x14ac:dyDescent="0.25">
      <c r="A293" s="241"/>
      <c r="B293" s="440"/>
      <c r="C293" s="193" t="s">
        <v>298</v>
      </c>
      <c r="D293" s="143"/>
      <c r="E293" s="144" t="s">
        <v>571</v>
      </c>
      <c r="F293" s="83"/>
      <c r="G293" s="83"/>
      <c r="H293" s="83"/>
      <c r="I293" s="83" t="s">
        <v>33</v>
      </c>
      <c r="J293" s="163">
        <v>3</v>
      </c>
      <c r="K293" s="163">
        <v>0</v>
      </c>
      <c r="L293" s="163"/>
      <c r="M293" s="163">
        <v>0</v>
      </c>
      <c r="N293" s="163">
        <v>0</v>
      </c>
      <c r="O293" s="163">
        <v>0</v>
      </c>
    </row>
    <row r="294" spans="1:16" s="114" customFormat="1" ht="45" customHeight="1" x14ac:dyDescent="0.25">
      <c r="A294" s="171"/>
      <c r="B294" s="436" t="s">
        <v>582</v>
      </c>
      <c r="C294" s="167" t="s">
        <v>583</v>
      </c>
      <c r="D294" s="176"/>
      <c r="E294" s="221" t="s">
        <v>584</v>
      </c>
      <c r="F294" s="242" t="s">
        <v>20</v>
      </c>
      <c r="G294" s="242" t="s">
        <v>73</v>
      </c>
      <c r="H294" s="242" t="s">
        <v>585</v>
      </c>
      <c r="I294" s="242"/>
      <c r="J294" s="204">
        <f t="shared" ref="J294:O294" si="69">J295+J296+J297+J298</f>
        <v>1446.94</v>
      </c>
      <c r="K294" s="204">
        <f t="shared" si="69"/>
        <v>1446.9</v>
      </c>
      <c r="L294" s="204">
        <f t="shared" si="69"/>
        <v>1459.6</v>
      </c>
      <c r="M294" s="204">
        <f t="shared" si="69"/>
        <v>1511.6</v>
      </c>
      <c r="N294" s="204">
        <f t="shared" si="69"/>
        <v>1551.6</v>
      </c>
      <c r="O294" s="204">
        <f t="shared" si="69"/>
        <v>1551.6</v>
      </c>
      <c r="P294" s="129"/>
    </row>
    <row r="295" spans="1:16" s="114" customFormat="1" ht="45" customHeight="1" x14ac:dyDescent="0.25">
      <c r="A295" s="171"/>
      <c r="B295" s="439"/>
      <c r="C295" s="33" t="s">
        <v>116</v>
      </c>
      <c r="D295" s="143"/>
      <c r="E295" s="33" t="s">
        <v>117</v>
      </c>
      <c r="F295" s="83"/>
      <c r="G295" s="83"/>
      <c r="H295" s="83"/>
      <c r="I295" s="83" t="s">
        <v>27</v>
      </c>
      <c r="J295" s="163">
        <v>989.2</v>
      </c>
      <c r="K295" s="163">
        <v>989.2</v>
      </c>
      <c r="L295" s="163">
        <v>947.6</v>
      </c>
      <c r="M295" s="163">
        <v>942.1</v>
      </c>
      <c r="N295" s="163">
        <v>982.1</v>
      </c>
      <c r="O295" s="163">
        <v>982.1</v>
      </c>
    </row>
    <row r="296" spans="1:16" s="114" customFormat="1" ht="45" customHeight="1" x14ac:dyDescent="0.25">
      <c r="A296" s="171"/>
      <c r="B296" s="439"/>
      <c r="C296" s="29" t="s">
        <v>564</v>
      </c>
      <c r="D296" s="31" t="s">
        <v>79</v>
      </c>
      <c r="E296" s="33" t="s">
        <v>108</v>
      </c>
      <c r="F296" s="83"/>
      <c r="G296" s="83"/>
      <c r="H296" s="83"/>
      <c r="I296" s="83" t="s">
        <v>30</v>
      </c>
      <c r="J296" s="163">
        <v>0</v>
      </c>
      <c r="K296" s="163">
        <v>0</v>
      </c>
      <c r="L296" s="163">
        <v>0</v>
      </c>
      <c r="M296" s="163">
        <v>0</v>
      </c>
      <c r="N296" s="163">
        <v>0</v>
      </c>
      <c r="O296" s="163">
        <v>0</v>
      </c>
    </row>
    <row r="297" spans="1:16" s="114" customFormat="1" ht="45" customHeight="1" x14ac:dyDescent="0.25">
      <c r="A297" s="171"/>
      <c r="B297" s="439"/>
      <c r="C297" s="27" t="s">
        <v>280</v>
      </c>
      <c r="D297" s="143"/>
      <c r="E297" s="144" t="s">
        <v>586</v>
      </c>
      <c r="F297" s="83"/>
      <c r="G297" s="83"/>
      <c r="H297" s="83"/>
      <c r="I297" s="83" t="s">
        <v>28</v>
      </c>
      <c r="J297" s="163">
        <v>295.64</v>
      </c>
      <c r="K297" s="163">
        <v>295.60000000000002</v>
      </c>
      <c r="L297" s="163">
        <v>350</v>
      </c>
      <c r="M297" s="163">
        <v>407.5</v>
      </c>
      <c r="N297" s="163">
        <v>407.5</v>
      </c>
      <c r="O297" s="163">
        <v>407.5</v>
      </c>
    </row>
    <row r="298" spans="1:16" s="114" customFormat="1" ht="45" customHeight="1" x14ac:dyDescent="0.25">
      <c r="A298" s="171"/>
      <c r="B298" s="440"/>
      <c r="C298" s="193" t="s">
        <v>298</v>
      </c>
      <c r="D298" s="31" t="s">
        <v>551</v>
      </c>
      <c r="E298" s="144" t="s">
        <v>587</v>
      </c>
      <c r="F298" s="83"/>
      <c r="G298" s="83"/>
      <c r="H298" s="83"/>
      <c r="I298" s="83" t="s">
        <v>33</v>
      </c>
      <c r="J298" s="163">
        <v>162.1</v>
      </c>
      <c r="K298" s="163">
        <v>162.1</v>
      </c>
      <c r="L298" s="163">
        <v>162</v>
      </c>
      <c r="M298" s="163">
        <v>162</v>
      </c>
      <c r="N298" s="163">
        <v>162</v>
      </c>
      <c r="O298" s="163">
        <v>162</v>
      </c>
    </row>
    <row r="299" spans="1:16" s="188" customFormat="1" ht="45" customHeight="1" x14ac:dyDescent="0.25">
      <c r="A299" s="356">
        <v>902</v>
      </c>
      <c r="B299" s="443" t="s">
        <v>504</v>
      </c>
      <c r="C299" s="225" t="s">
        <v>588</v>
      </c>
      <c r="D299" s="69" t="s">
        <v>506</v>
      </c>
      <c r="E299" s="70" t="s">
        <v>589</v>
      </c>
      <c r="F299" s="168" t="s">
        <v>137</v>
      </c>
      <c r="G299" s="168" t="s">
        <v>20</v>
      </c>
      <c r="H299" s="31"/>
      <c r="I299" s="31"/>
      <c r="J299" s="169">
        <f t="shared" ref="J299:O299" si="70">SUM(J300:J300)</f>
        <v>723.64</v>
      </c>
      <c r="K299" s="169">
        <f t="shared" si="70"/>
        <v>723.6</v>
      </c>
      <c r="L299" s="169">
        <f t="shared" si="70"/>
        <v>700.7</v>
      </c>
      <c r="M299" s="169">
        <f t="shared" si="70"/>
        <v>746.8</v>
      </c>
      <c r="N299" s="169">
        <f t="shared" si="70"/>
        <v>775.2</v>
      </c>
      <c r="O299" s="169">
        <f t="shared" si="70"/>
        <v>804.6</v>
      </c>
    </row>
    <row r="300" spans="1:16" s="114" customFormat="1" ht="45" customHeight="1" x14ac:dyDescent="0.25">
      <c r="A300" s="407"/>
      <c r="B300" s="444"/>
      <c r="C300" s="193" t="s">
        <v>298</v>
      </c>
      <c r="D300" s="33" t="s">
        <v>590</v>
      </c>
      <c r="E300" s="33" t="s">
        <v>591</v>
      </c>
      <c r="F300" s="83" t="s">
        <v>137</v>
      </c>
      <c r="G300" s="83" t="s">
        <v>20</v>
      </c>
      <c r="H300" s="31" t="s">
        <v>592</v>
      </c>
      <c r="I300" s="31" t="s">
        <v>33</v>
      </c>
      <c r="J300" s="160">
        <v>723.64</v>
      </c>
      <c r="K300" s="160">
        <v>723.6</v>
      </c>
      <c r="L300" s="160">
        <v>700.7</v>
      </c>
      <c r="M300" s="160">
        <v>746.8</v>
      </c>
      <c r="N300" s="160">
        <v>775.2</v>
      </c>
      <c r="O300" s="160">
        <v>804.6</v>
      </c>
    </row>
    <row r="301" spans="1:16" s="114" customFormat="1" ht="45" customHeight="1" x14ac:dyDescent="0.25">
      <c r="A301" s="235">
        <v>902</v>
      </c>
      <c r="B301" s="243" t="s">
        <v>593</v>
      </c>
      <c r="C301" s="20" t="s">
        <v>594</v>
      </c>
      <c r="D301" s="20" t="s">
        <v>595</v>
      </c>
      <c r="E301" s="20" t="s">
        <v>596</v>
      </c>
      <c r="F301" s="168" t="s">
        <v>137</v>
      </c>
      <c r="G301" s="168" t="s">
        <v>64</v>
      </c>
      <c r="H301" s="168" t="s">
        <v>597</v>
      </c>
      <c r="I301" s="168" t="s">
        <v>33</v>
      </c>
      <c r="J301" s="169">
        <v>0</v>
      </c>
      <c r="K301" s="169">
        <v>0</v>
      </c>
      <c r="L301" s="169">
        <v>252</v>
      </c>
      <c r="M301" s="169">
        <v>0</v>
      </c>
      <c r="N301" s="169">
        <v>0</v>
      </c>
      <c r="O301" s="169">
        <v>0</v>
      </c>
      <c r="P301" s="129"/>
    </row>
    <row r="302" spans="1:16" s="109" customFormat="1" ht="45" customHeight="1" x14ac:dyDescent="0.25">
      <c r="A302" s="356">
        <v>902</v>
      </c>
      <c r="B302" s="436" t="s">
        <v>598</v>
      </c>
      <c r="C302" s="70" t="s">
        <v>599</v>
      </c>
      <c r="D302" s="94" t="s">
        <v>600</v>
      </c>
      <c r="E302" s="70" t="s">
        <v>601</v>
      </c>
      <c r="F302" s="70" t="s">
        <v>20</v>
      </c>
      <c r="G302" s="70" t="s">
        <v>73</v>
      </c>
      <c r="H302" s="70" t="s">
        <v>602</v>
      </c>
      <c r="I302" s="70"/>
      <c r="J302" s="237">
        <f>J303+J304+J305+J306</f>
        <v>723.4</v>
      </c>
      <c r="K302" s="237">
        <f t="shared" ref="K302:O302" si="71">K303+K304+K305+K306</f>
        <v>723.4</v>
      </c>
      <c r="L302" s="237">
        <f t="shared" si="71"/>
        <v>729.8</v>
      </c>
      <c r="M302" s="237">
        <f t="shared" si="71"/>
        <v>755.8</v>
      </c>
      <c r="N302" s="237">
        <f t="shared" si="71"/>
        <v>775.8</v>
      </c>
      <c r="O302" s="237">
        <f t="shared" si="71"/>
        <v>775.8</v>
      </c>
      <c r="P302" s="196"/>
    </row>
    <row r="303" spans="1:16" s="114" customFormat="1" ht="45" customHeight="1" x14ac:dyDescent="0.25">
      <c r="A303" s="357"/>
      <c r="B303" s="437"/>
      <c r="C303" s="33" t="s">
        <v>116</v>
      </c>
      <c r="D303" s="143"/>
      <c r="E303" s="33" t="s">
        <v>117</v>
      </c>
      <c r="F303" s="33"/>
      <c r="G303" s="33"/>
      <c r="H303" s="33"/>
      <c r="I303" s="33" t="s">
        <v>27</v>
      </c>
      <c r="J303" s="197">
        <v>491.8</v>
      </c>
      <c r="K303" s="197">
        <v>491.8</v>
      </c>
      <c r="L303" s="197">
        <v>499.4</v>
      </c>
      <c r="M303" s="197">
        <v>504.8</v>
      </c>
      <c r="N303" s="197">
        <v>524.79999999999995</v>
      </c>
      <c r="O303" s="197">
        <v>524.79999999999995</v>
      </c>
      <c r="P303" s="441"/>
    </row>
    <row r="304" spans="1:16" s="114" customFormat="1" ht="45" customHeight="1" x14ac:dyDescent="0.25">
      <c r="A304" s="357"/>
      <c r="B304" s="437"/>
      <c r="C304" s="33" t="s">
        <v>603</v>
      </c>
      <c r="D304" s="31" t="s">
        <v>79</v>
      </c>
      <c r="E304" s="33" t="s">
        <v>108</v>
      </c>
      <c r="F304" s="33"/>
      <c r="G304" s="33"/>
      <c r="H304" s="33"/>
      <c r="I304" s="33" t="s">
        <v>30</v>
      </c>
      <c r="J304" s="197">
        <v>0</v>
      </c>
      <c r="K304" s="197">
        <v>0</v>
      </c>
      <c r="L304" s="197">
        <v>0</v>
      </c>
      <c r="M304" s="197">
        <v>0</v>
      </c>
      <c r="N304" s="197">
        <v>0</v>
      </c>
      <c r="O304" s="197">
        <v>0</v>
      </c>
      <c r="P304" s="441"/>
    </row>
    <row r="305" spans="1:19" s="114" customFormat="1" ht="45" customHeight="1" x14ac:dyDescent="0.25">
      <c r="A305" s="357"/>
      <c r="B305" s="437"/>
      <c r="C305" s="27" t="s">
        <v>280</v>
      </c>
      <c r="D305" s="143"/>
      <c r="E305" s="144" t="s">
        <v>297</v>
      </c>
      <c r="F305" s="33"/>
      <c r="G305" s="33"/>
      <c r="H305" s="33"/>
      <c r="I305" s="33" t="s">
        <v>28</v>
      </c>
      <c r="J305" s="197">
        <v>148.5</v>
      </c>
      <c r="K305" s="197">
        <v>148.5</v>
      </c>
      <c r="L305" s="197">
        <v>149.4</v>
      </c>
      <c r="M305" s="197">
        <v>170</v>
      </c>
      <c r="N305" s="197">
        <v>170</v>
      </c>
      <c r="O305" s="197">
        <v>170</v>
      </c>
      <c r="P305" s="441"/>
    </row>
    <row r="306" spans="1:19" s="114" customFormat="1" ht="45" customHeight="1" x14ac:dyDescent="0.25">
      <c r="A306" s="407"/>
      <c r="B306" s="438"/>
      <c r="C306" s="193" t="s">
        <v>298</v>
      </c>
      <c r="D306" s="31" t="s">
        <v>284</v>
      </c>
      <c r="E306" s="33" t="s">
        <v>604</v>
      </c>
      <c r="F306" s="33"/>
      <c r="G306" s="33"/>
      <c r="H306" s="33"/>
      <c r="I306" s="33" t="s">
        <v>33</v>
      </c>
      <c r="J306" s="197">
        <v>83.1</v>
      </c>
      <c r="K306" s="197">
        <v>83.1</v>
      </c>
      <c r="L306" s="197">
        <v>81</v>
      </c>
      <c r="M306" s="197">
        <v>81</v>
      </c>
      <c r="N306" s="197">
        <v>81</v>
      </c>
      <c r="O306" s="197">
        <v>81</v>
      </c>
      <c r="P306" s="441"/>
    </row>
    <row r="307" spans="1:19" s="114" customFormat="1" ht="45" customHeight="1" x14ac:dyDescent="0.25">
      <c r="A307" s="171"/>
      <c r="B307" s="356" t="s">
        <v>605</v>
      </c>
      <c r="C307" s="244" t="s">
        <v>606</v>
      </c>
      <c r="D307" s="69"/>
      <c r="E307" s="238"/>
      <c r="F307" s="70" t="s">
        <v>73</v>
      </c>
      <c r="G307" s="70" t="s">
        <v>137</v>
      </c>
      <c r="H307" s="70" t="s">
        <v>607</v>
      </c>
      <c r="I307" s="70" t="s">
        <v>608</v>
      </c>
      <c r="J307" s="205">
        <f t="shared" ref="J307:O307" si="72">J308</f>
        <v>11192.4</v>
      </c>
      <c r="K307" s="205">
        <f t="shared" si="72"/>
        <v>11192.4</v>
      </c>
      <c r="L307" s="205">
        <f t="shared" si="72"/>
        <v>12870.1</v>
      </c>
      <c r="M307" s="205">
        <f t="shared" si="72"/>
        <v>13062.5</v>
      </c>
      <c r="N307" s="205">
        <f t="shared" si="72"/>
        <v>13062.5</v>
      </c>
      <c r="O307" s="205">
        <f t="shared" si="72"/>
        <v>13062.5</v>
      </c>
      <c r="P307" s="129"/>
    </row>
    <row r="308" spans="1:19" s="114" customFormat="1" ht="45" customHeight="1" x14ac:dyDescent="0.25">
      <c r="A308" s="171"/>
      <c r="B308" s="416"/>
      <c r="C308" s="154" t="s">
        <v>609</v>
      </c>
      <c r="D308" s="99" t="s">
        <v>610</v>
      </c>
      <c r="E308" s="33" t="s">
        <v>611</v>
      </c>
      <c r="F308" s="33"/>
      <c r="G308" s="33"/>
      <c r="H308" s="33"/>
      <c r="I308" s="33"/>
      <c r="J308" s="190">
        <v>11192.4</v>
      </c>
      <c r="K308" s="190">
        <v>11192.4</v>
      </c>
      <c r="L308" s="190">
        <v>12870.1</v>
      </c>
      <c r="M308" s="190">
        <v>13062.5</v>
      </c>
      <c r="N308" s="190">
        <v>13062.5</v>
      </c>
      <c r="O308" s="190">
        <v>13062.5</v>
      </c>
    </row>
    <row r="309" spans="1:19" s="188" customFormat="1" ht="45" customHeight="1" x14ac:dyDescent="0.25">
      <c r="A309" s="356">
        <v>902</v>
      </c>
      <c r="B309" s="356" t="s">
        <v>612</v>
      </c>
      <c r="C309" s="245" t="s">
        <v>613</v>
      </c>
      <c r="D309" s="94" t="s">
        <v>614</v>
      </c>
      <c r="E309" s="70" t="s">
        <v>615</v>
      </c>
      <c r="F309" s="168" t="s">
        <v>20</v>
      </c>
      <c r="G309" s="168" t="s">
        <v>73</v>
      </c>
      <c r="H309" s="168" t="s">
        <v>616</v>
      </c>
      <c r="I309" s="33"/>
      <c r="J309" s="237">
        <f>J310+J311+J312+J313</f>
        <v>723.60000000000014</v>
      </c>
      <c r="K309" s="237">
        <f t="shared" ref="K309:O309" si="73">K310+K311+K312+K313</f>
        <v>723.60000000000014</v>
      </c>
      <c r="L309" s="237">
        <f t="shared" si="73"/>
        <v>730</v>
      </c>
      <c r="M309" s="237">
        <f t="shared" si="73"/>
        <v>756</v>
      </c>
      <c r="N309" s="237">
        <f t="shared" si="73"/>
        <v>776</v>
      </c>
      <c r="O309" s="237">
        <f t="shared" si="73"/>
        <v>776</v>
      </c>
    </row>
    <row r="310" spans="1:19" s="114" customFormat="1" ht="45" customHeight="1" x14ac:dyDescent="0.25">
      <c r="A310" s="357"/>
      <c r="B310" s="442"/>
      <c r="C310" s="33" t="s">
        <v>116</v>
      </c>
      <c r="D310" s="143"/>
      <c r="E310" s="33" t="s">
        <v>117</v>
      </c>
      <c r="F310" s="83"/>
      <c r="G310" s="83"/>
      <c r="H310" s="83"/>
      <c r="I310" s="31" t="s">
        <v>27</v>
      </c>
      <c r="J310" s="197">
        <v>494.6</v>
      </c>
      <c r="K310" s="197">
        <v>494.6</v>
      </c>
      <c r="L310" s="197">
        <v>500.3</v>
      </c>
      <c r="M310" s="197">
        <v>505</v>
      </c>
      <c r="N310" s="197">
        <v>525</v>
      </c>
      <c r="O310" s="197">
        <v>525</v>
      </c>
    </row>
    <row r="311" spans="1:19" s="114" customFormat="1" ht="45" customHeight="1" x14ac:dyDescent="0.25">
      <c r="A311" s="357"/>
      <c r="B311" s="442"/>
      <c r="C311" s="29" t="s">
        <v>617</v>
      </c>
      <c r="D311" s="31" t="s">
        <v>79</v>
      </c>
      <c r="E311" s="33" t="s">
        <v>108</v>
      </c>
      <c r="F311" s="83"/>
      <c r="G311" s="83"/>
      <c r="H311" s="83"/>
      <c r="I311" s="31" t="s">
        <v>30</v>
      </c>
      <c r="J311" s="197">
        <v>0</v>
      </c>
      <c r="K311" s="197">
        <v>0</v>
      </c>
      <c r="L311" s="197">
        <v>0</v>
      </c>
      <c r="M311" s="197">
        <v>0</v>
      </c>
      <c r="N311" s="197">
        <v>0</v>
      </c>
      <c r="O311" s="197">
        <v>0</v>
      </c>
    </row>
    <row r="312" spans="1:19" s="114" customFormat="1" ht="45" customHeight="1" x14ac:dyDescent="0.25">
      <c r="A312" s="357"/>
      <c r="B312" s="442"/>
      <c r="C312" s="27" t="s">
        <v>280</v>
      </c>
      <c r="D312" s="143"/>
      <c r="E312" s="144" t="s">
        <v>618</v>
      </c>
      <c r="F312" s="83"/>
      <c r="G312" s="83"/>
      <c r="H312" s="83"/>
      <c r="I312" s="31" t="s">
        <v>28</v>
      </c>
      <c r="J312" s="197">
        <v>147.30000000000001</v>
      </c>
      <c r="K312" s="197">
        <v>147.30000000000001</v>
      </c>
      <c r="L312" s="197">
        <v>148.69999999999999</v>
      </c>
      <c r="M312" s="197">
        <v>170</v>
      </c>
      <c r="N312" s="197">
        <v>170</v>
      </c>
      <c r="O312" s="197">
        <v>170</v>
      </c>
    </row>
    <row r="313" spans="1:19" s="114" customFormat="1" ht="45" customHeight="1" x14ac:dyDescent="0.25">
      <c r="A313" s="407"/>
      <c r="B313" s="416"/>
      <c r="C313" s="193" t="s">
        <v>298</v>
      </c>
      <c r="D313" s="31" t="s">
        <v>284</v>
      </c>
      <c r="E313" s="33" t="s">
        <v>565</v>
      </c>
      <c r="F313" s="83"/>
      <c r="G313" s="83"/>
      <c r="H313" s="83"/>
      <c r="I313" s="31" t="s">
        <v>33</v>
      </c>
      <c r="J313" s="197">
        <v>81.7</v>
      </c>
      <c r="K313" s="197">
        <v>81.7</v>
      </c>
      <c r="L313" s="197">
        <v>81</v>
      </c>
      <c r="M313" s="197">
        <v>81</v>
      </c>
      <c r="N313" s="197">
        <v>81</v>
      </c>
      <c r="O313" s="197">
        <v>81</v>
      </c>
    </row>
    <row r="314" spans="1:19" s="114" customFormat="1" ht="45" customHeight="1" x14ac:dyDescent="0.25">
      <c r="A314" s="246">
        <v>902</v>
      </c>
      <c r="B314" s="436" t="s">
        <v>619</v>
      </c>
      <c r="C314" s="124" t="s">
        <v>620</v>
      </c>
      <c r="D314" s="199"/>
      <c r="E314" s="201" t="s">
        <v>621</v>
      </c>
      <c r="F314" s="70"/>
      <c r="G314" s="70"/>
      <c r="H314" s="70"/>
      <c r="I314" s="70"/>
      <c r="J314" s="205">
        <f>J315+J318+J321+J324</f>
        <v>17218.78</v>
      </c>
      <c r="K314" s="205">
        <f t="shared" ref="K314:O314" si="74">K315+K318+K321+K324</f>
        <v>17218.78</v>
      </c>
      <c r="L314" s="205">
        <f t="shared" si="74"/>
        <v>18808.499999999996</v>
      </c>
      <c r="M314" s="205">
        <f t="shared" si="74"/>
        <v>20661.400000000001</v>
      </c>
      <c r="N314" s="205">
        <f t="shared" si="74"/>
        <v>21534.2</v>
      </c>
      <c r="O314" s="205">
        <f t="shared" si="74"/>
        <v>22618.1</v>
      </c>
      <c r="P314" s="198"/>
      <c r="Q314" s="198"/>
    </row>
    <row r="315" spans="1:19" s="114" customFormat="1" ht="45" customHeight="1" x14ac:dyDescent="0.25">
      <c r="A315" s="211"/>
      <c r="B315" s="439"/>
      <c r="C315" s="200" t="s">
        <v>622</v>
      </c>
      <c r="D315" s="199"/>
      <c r="E315" s="132" t="s">
        <v>157</v>
      </c>
      <c r="F315" s="70" t="s">
        <v>20</v>
      </c>
      <c r="G315" s="70" t="s">
        <v>146</v>
      </c>
      <c r="H315" s="70" t="s">
        <v>623</v>
      </c>
      <c r="I315" s="70" t="s">
        <v>33</v>
      </c>
      <c r="J315" s="237">
        <f>SUM(J316:J317)</f>
        <v>162.19999999999999</v>
      </c>
      <c r="K315" s="237">
        <f t="shared" ref="K315:O315" si="75">SUM(K316:K317)</f>
        <v>162.19999999999999</v>
      </c>
      <c r="L315" s="237">
        <f t="shared" si="75"/>
        <v>186</v>
      </c>
      <c r="M315" s="237">
        <f t="shared" si="75"/>
        <v>186.9</v>
      </c>
      <c r="N315" s="237">
        <f t="shared" si="75"/>
        <v>186.9</v>
      </c>
      <c r="O315" s="237">
        <f t="shared" si="75"/>
        <v>186.9</v>
      </c>
      <c r="P315" s="113"/>
      <c r="Q315" s="113"/>
      <c r="R315" s="113"/>
      <c r="S315" s="113"/>
    </row>
    <row r="316" spans="1:19" s="114" customFormat="1" ht="45" customHeight="1" x14ac:dyDescent="0.25">
      <c r="A316" s="211"/>
      <c r="B316" s="439"/>
      <c r="C316" s="33" t="s">
        <v>624</v>
      </c>
      <c r="D316" s="33"/>
      <c r="E316" s="33" t="s">
        <v>532</v>
      </c>
      <c r="F316" s="33"/>
      <c r="G316" s="33"/>
      <c r="H316" s="33"/>
      <c r="I316" s="33" t="s">
        <v>282</v>
      </c>
      <c r="J316" s="191">
        <v>65</v>
      </c>
      <c r="K316" s="191">
        <v>65</v>
      </c>
      <c r="L316" s="191">
        <v>0</v>
      </c>
      <c r="M316" s="191">
        <v>0</v>
      </c>
      <c r="N316" s="191">
        <v>0</v>
      </c>
      <c r="O316" s="191">
        <v>0</v>
      </c>
      <c r="P316" s="198"/>
      <c r="Q316" s="198"/>
    </row>
    <row r="317" spans="1:19" s="114" customFormat="1" ht="45" customHeight="1" x14ac:dyDescent="0.25">
      <c r="A317" s="211"/>
      <c r="B317" s="439"/>
      <c r="C317" s="193" t="s">
        <v>298</v>
      </c>
      <c r="D317" s="132" t="s">
        <v>551</v>
      </c>
      <c r="E317" s="132" t="s">
        <v>157</v>
      </c>
      <c r="F317" s="33"/>
      <c r="G317" s="33"/>
      <c r="H317" s="33"/>
      <c r="I317" s="33" t="s">
        <v>33</v>
      </c>
      <c r="J317" s="191">
        <v>97.2</v>
      </c>
      <c r="K317" s="191">
        <v>97.2</v>
      </c>
      <c r="L317" s="191">
        <v>186</v>
      </c>
      <c r="M317" s="191">
        <v>186.9</v>
      </c>
      <c r="N317" s="191">
        <v>186.9</v>
      </c>
      <c r="O317" s="191">
        <v>186.9</v>
      </c>
      <c r="P317" s="198"/>
      <c r="Q317" s="198"/>
    </row>
    <row r="318" spans="1:19" s="114" customFormat="1" ht="45" customHeight="1" x14ac:dyDescent="0.25">
      <c r="A318" s="211"/>
      <c r="B318" s="439"/>
      <c r="C318" s="200" t="s">
        <v>625</v>
      </c>
      <c r="D318" s="199"/>
      <c r="E318" s="201"/>
      <c r="F318" s="70" t="s">
        <v>20</v>
      </c>
      <c r="G318" s="70" t="s">
        <v>146</v>
      </c>
      <c r="H318" s="70" t="s">
        <v>626</v>
      </c>
      <c r="I318" s="70"/>
      <c r="J318" s="237">
        <f>J319+J320</f>
        <v>216.7</v>
      </c>
      <c r="K318" s="237">
        <f t="shared" ref="K318:O318" si="76">K319+K320</f>
        <v>216.7</v>
      </c>
      <c r="L318" s="237">
        <f t="shared" si="76"/>
        <v>232.4</v>
      </c>
      <c r="M318" s="237">
        <f t="shared" si="76"/>
        <v>137.6</v>
      </c>
      <c r="N318" s="237">
        <f t="shared" si="76"/>
        <v>143.80000000000001</v>
      </c>
      <c r="O318" s="237">
        <f t="shared" si="76"/>
        <v>149.80000000000001</v>
      </c>
      <c r="P318" s="198"/>
      <c r="Q318" s="198"/>
    </row>
    <row r="319" spans="1:19" s="114" customFormat="1" ht="45" customHeight="1" x14ac:dyDescent="0.25">
      <c r="A319" s="211"/>
      <c r="B319" s="439"/>
      <c r="C319" s="33" t="s">
        <v>624</v>
      </c>
      <c r="D319" s="33"/>
      <c r="E319" s="33" t="s">
        <v>532</v>
      </c>
      <c r="F319" s="33"/>
      <c r="G319" s="33"/>
      <c r="H319" s="33"/>
      <c r="I319" s="33" t="s">
        <v>282</v>
      </c>
      <c r="J319" s="191">
        <v>216.7</v>
      </c>
      <c r="K319" s="191">
        <v>216.7</v>
      </c>
      <c r="L319" s="191">
        <v>0</v>
      </c>
      <c r="M319" s="191">
        <v>0</v>
      </c>
      <c r="N319" s="191">
        <v>0</v>
      </c>
      <c r="O319" s="191">
        <v>0</v>
      </c>
      <c r="P319" s="198"/>
      <c r="Q319" s="198"/>
    </row>
    <row r="320" spans="1:19" s="114" customFormat="1" ht="45" customHeight="1" x14ac:dyDescent="0.25">
      <c r="A320" s="211"/>
      <c r="B320" s="439"/>
      <c r="C320" s="193" t="s">
        <v>298</v>
      </c>
      <c r="D320" s="132" t="s">
        <v>551</v>
      </c>
      <c r="E320" s="132" t="s">
        <v>157</v>
      </c>
      <c r="F320" s="33"/>
      <c r="G320" s="33"/>
      <c r="H320" s="33"/>
      <c r="I320" s="33" t="s">
        <v>33</v>
      </c>
      <c r="J320" s="191">
        <v>0</v>
      </c>
      <c r="K320" s="191">
        <v>0</v>
      </c>
      <c r="L320" s="191">
        <v>232.4</v>
      </c>
      <c r="M320" s="191">
        <v>137.6</v>
      </c>
      <c r="N320" s="191">
        <v>143.80000000000001</v>
      </c>
      <c r="O320" s="191">
        <v>149.80000000000001</v>
      </c>
      <c r="P320" s="198"/>
      <c r="Q320" s="198"/>
    </row>
    <row r="321" spans="1:17" s="114" customFormat="1" ht="45" customHeight="1" x14ac:dyDescent="0.25">
      <c r="A321" s="211"/>
      <c r="B321" s="439"/>
      <c r="C321" s="167" t="s">
        <v>627</v>
      </c>
      <c r="D321" s="199"/>
      <c r="E321" s="201"/>
      <c r="F321" s="70" t="s">
        <v>20</v>
      </c>
      <c r="G321" s="70" t="s">
        <v>146</v>
      </c>
      <c r="H321" s="70" t="s">
        <v>628</v>
      </c>
      <c r="I321" s="70"/>
      <c r="J321" s="237">
        <f>J322+J323</f>
        <v>33</v>
      </c>
      <c r="K321" s="237">
        <f t="shared" ref="K321:O321" si="77">K322+K323</f>
        <v>33</v>
      </c>
      <c r="L321" s="237">
        <f t="shared" si="77"/>
        <v>38.4</v>
      </c>
      <c r="M321" s="237">
        <f t="shared" si="77"/>
        <v>39.700000000000003</v>
      </c>
      <c r="N321" s="237">
        <f t="shared" si="77"/>
        <v>41.5</v>
      </c>
      <c r="O321" s="237">
        <f t="shared" si="77"/>
        <v>43.3</v>
      </c>
      <c r="P321" s="198"/>
      <c r="Q321" s="198"/>
    </row>
    <row r="322" spans="1:17" s="114" customFormat="1" ht="45" customHeight="1" x14ac:dyDescent="0.25">
      <c r="A322" s="211"/>
      <c r="B322" s="439"/>
      <c r="C322" s="33" t="s">
        <v>624</v>
      </c>
      <c r="D322" s="33"/>
      <c r="E322" s="33" t="s">
        <v>532</v>
      </c>
      <c r="F322" s="33"/>
      <c r="G322" s="33"/>
      <c r="H322" s="33"/>
      <c r="I322" s="33" t="s">
        <v>282</v>
      </c>
      <c r="J322" s="191">
        <v>33</v>
      </c>
      <c r="K322" s="191">
        <v>33</v>
      </c>
      <c r="L322" s="191">
        <v>0</v>
      </c>
      <c r="M322" s="191">
        <v>0</v>
      </c>
      <c r="N322" s="191">
        <v>0</v>
      </c>
      <c r="O322" s="191">
        <v>0</v>
      </c>
      <c r="P322" s="198"/>
      <c r="Q322" s="198"/>
    </row>
    <row r="323" spans="1:17" s="114" customFormat="1" ht="45" customHeight="1" x14ac:dyDescent="0.25">
      <c r="A323" s="211"/>
      <c r="B323" s="439"/>
      <c r="C323" s="193" t="s">
        <v>298</v>
      </c>
      <c r="D323" s="132" t="s">
        <v>551</v>
      </c>
      <c r="E323" s="132" t="s">
        <v>157</v>
      </c>
      <c r="F323" s="33"/>
      <c r="G323" s="33"/>
      <c r="H323" s="33"/>
      <c r="I323" s="33" t="s">
        <v>33</v>
      </c>
      <c r="J323" s="191">
        <v>0</v>
      </c>
      <c r="K323" s="191">
        <v>0</v>
      </c>
      <c r="L323" s="191">
        <v>38.4</v>
      </c>
      <c r="M323" s="191">
        <v>39.700000000000003</v>
      </c>
      <c r="N323" s="191">
        <v>41.5</v>
      </c>
      <c r="O323" s="191">
        <v>43.3</v>
      </c>
      <c r="P323" s="198"/>
      <c r="Q323" s="198"/>
    </row>
    <row r="324" spans="1:17" s="114" customFormat="1" ht="45" customHeight="1" x14ac:dyDescent="0.25">
      <c r="A324" s="211"/>
      <c r="B324" s="439"/>
      <c r="C324" s="140" t="s">
        <v>629</v>
      </c>
      <c r="D324" s="149"/>
      <c r="E324" s="132" t="s">
        <v>630</v>
      </c>
      <c r="F324" s="70" t="s">
        <v>20</v>
      </c>
      <c r="G324" s="70" t="s">
        <v>146</v>
      </c>
      <c r="H324" s="70" t="s">
        <v>631</v>
      </c>
      <c r="I324" s="202"/>
      <c r="J324" s="205">
        <f>J325+J326+J327+J328+J329</f>
        <v>16806.879999999997</v>
      </c>
      <c r="K324" s="205">
        <f t="shared" ref="K324:O324" si="78">K325+K326+K327+K328+K329</f>
        <v>16806.879999999997</v>
      </c>
      <c r="L324" s="205">
        <f t="shared" si="78"/>
        <v>18351.699999999997</v>
      </c>
      <c r="M324" s="205">
        <f t="shared" si="78"/>
        <v>20297.2</v>
      </c>
      <c r="N324" s="205">
        <f t="shared" si="78"/>
        <v>21162</v>
      </c>
      <c r="O324" s="205">
        <f t="shared" si="78"/>
        <v>22238.1</v>
      </c>
      <c r="P324" s="198"/>
      <c r="Q324" s="198"/>
    </row>
    <row r="325" spans="1:17" s="114" customFormat="1" ht="45" customHeight="1" x14ac:dyDescent="0.25">
      <c r="A325" s="357"/>
      <c r="B325" s="439"/>
      <c r="C325" s="154" t="s">
        <v>632</v>
      </c>
      <c r="D325" s="149"/>
      <c r="E325" s="132" t="s">
        <v>633</v>
      </c>
      <c r="F325" s="33"/>
      <c r="G325" s="33"/>
      <c r="H325" s="33"/>
      <c r="I325" s="33" t="s">
        <v>278</v>
      </c>
      <c r="J325" s="190">
        <v>11037.74</v>
      </c>
      <c r="K325" s="190">
        <v>11037.74</v>
      </c>
      <c r="L325" s="190">
        <v>12290.3</v>
      </c>
      <c r="M325" s="190">
        <v>10912.5</v>
      </c>
      <c r="N325" s="190">
        <v>11377.4</v>
      </c>
      <c r="O325" s="190">
        <v>11956</v>
      </c>
      <c r="P325" s="198"/>
      <c r="Q325" s="198"/>
    </row>
    <row r="326" spans="1:17" s="114" customFormat="1" ht="45" customHeight="1" x14ac:dyDescent="0.25">
      <c r="A326" s="357"/>
      <c r="B326" s="439"/>
      <c r="C326" s="29" t="s">
        <v>617</v>
      </c>
      <c r="D326" s="31" t="s">
        <v>79</v>
      </c>
      <c r="E326" s="33" t="s">
        <v>108</v>
      </c>
      <c r="F326" s="33"/>
      <c r="G326" s="33"/>
      <c r="H326" s="33"/>
      <c r="I326" s="33" t="s">
        <v>279</v>
      </c>
      <c r="J326" s="190">
        <v>0</v>
      </c>
      <c r="K326" s="190">
        <v>0</v>
      </c>
      <c r="L326" s="190">
        <v>0</v>
      </c>
      <c r="M326" s="190">
        <v>0</v>
      </c>
      <c r="N326" s="190">
        <v>0</v>
      </c>
      <c r="O326" s="190">
        <v>0</v>
      </c>
      <c r="P326" s="198"/>
      <c r="Q326" s="198"/>
    </row>
    <row r="327" spans="1:17" s="114" customFormat="1" ht="45" customHeight="1" x14ac:dyDescent="0.25">
      <c r="A327" s="357"/>
      <c r="B327" s="439"/>
      <c r="C327" s="33" t="s">
        <v>624</v>
      </c>
      <c r="D327" s="33"/>
      <c r="E327" s="33" t="s">
        <v>532</v>
      </c>
      <c r="F327" s="33"/>
      <c r="G327" s="33"/>
      <c r="H327" s="33"/>
      <c r="I327" s="33" t="s">
        <v>282</v>
      </c>
      <c r="J327" s="190">
        <v>3205.24</v>
      </c>
      <c r="K327" s="190">
        <v>3205.24</v>
      </c>
      <c r="L327" s="190">
        <v>2744.4</v>
      </c>
      <c r="M327" s="190">
        <v>3295.5</v>
      </c>
      <c r="N327" s="190">
        <v>3436</v>
      </c>
      <c r="O327" s="190">
        <v>3610.7</v>
      </c>
      <c r="P327" s="198"/>
      <c r="Q327" s="198"/>
    </row>
    <row r="328" spans="1:17" s="114" customFormat="1" ht="45" customHeight="1" x14ac:dyDescent="0.25">
      <c r="A328" s="407"/>
      <c r="B328" s="439"/>
      <c r="C328" s="193" t="s">
        <v>298</v>
      </c>
      <c r="D328" s="132" t="s">
        <v>551</v>
      </c>
      <c r="E328" s="132" t="s">
        <v>157</v>
      </c>
      <c r="F328" s="33"/>
      <c r="G328" s="33"/>
      <c r="H328" s="33"/>
      <c r="I328" s="33" t="s">
        <v>33</v>
      </c>
      <c r="J328" s="190">
        <v>2556.1</v>
      </c>
      <c r="K328" s="190">
        <v>2556.1</v>
      </c>
      <c r="L328" s="190">
        <v>3317</v>
      </c>
      <c r="M328" s="190">
        <v>6089.2</v>
      </c>
      <c r="N328" s="190">
        <v>6348.6</v>
      </c>
      <c r="O328" s="190">
        <v>6671.4</v>
      </c>
      <c r="P328" s="198"/>
      <c r="Q328" s="198"/>
    </row>
    <row r="329" spans="1:17" s="114" customFormat="1" ht="45" customHeight="1" x14ac:dyDescent="0.25">
      <c r="A329" s="171"/>
      <c r="B329" s="439"/>
      <c r="C329" s="47" t="s">
        <v>634</v>
      </c>
      <c r="D329" s="247"/>
      <c r="E329" s="248" t="s">
        <v>635</v>
      </c>
      <c r="F329" s="151" t="s">
        <v>20</v>
      </c>
      <c r="G329" s="151" t="s">
        <v>146</v>
      </c>
      <c r="H329" s="151" t="s">
        <v>631</v>
      </c>
      <c r="I329" s="151" t="s">
        <v>374</v>
      </c>
      <c r="J329" s="203">
        <v>7.8</v>
      </c>
      <c r="K329" s="203">
        <v>7.8</v>
      </c>
      <c r="L329" s="203">
        <v>0</v>
      </c>
      <c r="M329" s="203">
        <v>0</v>
      </c>
      <c r="N329" s="203">
        <v>0</v>
      </c>
      <c r="O329" s="203">
        <v>0</v>
      </c>
      <c r="P329" s="198"/>
      <c r="Q329" s="198"/>
    </row>
    <row r="330" spans="1:17" s="114" customFormat="1" ht="45" customHeight="1" x14ac:dyDescent="0.25">
      <c r="A330" s="235"/>
      <c r="B330" s="449" t="s">
        <v>636</v>
      </c>
      <c r="C330" s="449"/>
      <c r="D330" s="449"/>
      <c r="E330" s="449"/>
      <c r="F330" s="449"/>
      <c r="G330" s="449"/>
      <c r="H330" s="449"/>
      <c r="I330" s="449"/>
      <c r="J330" s="205">
        <f>SUM(J331:J334)</f>
        <v>9905.14</v>
      </c>
      <c r="K330" s="205">
        <f t="shared" ref="K330:O330" si="79">SUM(K331:K334)</f>
        <v>9905.1</v>
      </c>
      <c r="L330" s="205">
        <f t="shared" si="79"/>
        <v>40499.300000000003</v>
      </c>
      <c r="M330" s="205">
        <f t="shared" si="79"/>
        <v>300</v>
      </c>
      <c r="N330" s="205">
        <f t="shared" si="79"/>
        <v>0</v>
      </c>
      <c r="O330" s="205">
        <f t="shared" si="79"/>
        <v>0</v>
      </c>
      <c r="P330" s="198"/>
      <c r="Q330" s="198"/>
    </row>
    <row r="331" spans="1:17" s="114" customFormat="1" ht="45" customHeight="1" x14ac:dyDescent="0.25">
      <c r="A331" s="357"/>
      <c r="B331" s="439"/>
      <c r="C331" s="124" t="s">
        <v>637</v>
      </c>
      <c r="D331" s="33" t="s">
        <v>638</v>
      </c>
      <c r="E331" s="33" t="s">
        <v>496</v>
      </c>
      <c r="F331" s="33" t="s">
        <v>20</v>
      </c>
      <c r="G331" s="33" t="s">
        <v>146</v>
      </c>
      <c r="H331" s="33" t="s">
        <v>639</v>
      </c>
      <c r="I331" s="33" t="s">
        <v>33</v>
      </c>
      <c r="J331" s="190">
        <v>0</v>
      </c>
      <c r="K331" s="190">
        <v>0</v>
      </c>
      <c r="L331" s="190">
        <v>16571.599999999999</v>
      </c>
      <c r="M331" s="190">
        <v>0</v>
      </c>
      <c r="N331" s="190">
        <v>0</v>
      </c>
      <c r="O331" s="190">
        <v>0</v>
      </c>
      <c r="P331" s="198"/>
      <c r="Q331" s="198"/>
    </row>
    <row r="332" spans="1:17" s="114" customFormat="1" ht="45" customHeight="1" x14ac:dyDescent="0.25">
      <c r="A332" s="357"/>
      <c r="B332" s="439"/>
      <c r="C332" s="124" t="s">
        <v>637</v>
      </c>
      <c r="D332" s="33" t="s">
        <v>638</v>
      </c>
      <c r="E332" s="33" t="s">
        <v>496</v>
      </c>
      <c r="F332" s="33" t="s">
        <v>20</v>
      </c>
      <c r="G332" s="33" t="s">
        <v>146</v>
      </c>
      <c r="H332" s="33" t="s">
        <v>640</v>
      </c>
      <c r="I332" s="33" t="s">
        <v>33</v>
      </c>
      <c r="J332" s="190">
        <v>0</v>
      </c>
      <c r="K332" s="190">
        <v>0</v>
      </c>
      <c r="L332" s="190">
        <v>5047</v>
      </c>
      <c r="M332" s="190">
        <v>0</v>
      </c>
      <c r="N332" s="190">
        <v>0</v>
      </c>
      <c r="O332" s="190">
        <v>0</v>
      </c>
      <c r="P332" s="198"/>
      <c r="Q332" s="198"/>
    </row>
    <row r="333" spans="1:17" s="114" customFormat="1" ht="45" customHeight="1" x14ac:dyDescent="0.25">
      <c r="A333" s="357"/>
      <c r="B333" s="439"/>
      <c r="C333" s="124" t="s">
        <v>641</v>
      </c>
      <c r="D333" s="249"/>
      <c r="E333" s="33" t="s">
        <v>642</v>
      </c>
      <c r="F333" s="33" t="s">
        <v>406</v>
      </c>
      <c r="G333" s="33" t="s">
        <v>21</v>
      </c>
      <c r="H333" s="33" t="s">
        <v>643</v>
      </c>
      <c r="I333" s="33" t="s">
        <v>644</v>
      </c>
      <c r="J333" s="190">
        <v>9605.14</v>
      </c>
      <c r="K333" s="190">
        <v>9605.1</v>
      </c>
      <c r="L333" s="190">
        <v>18580.7</v>
      </c>
      <c r="M333" s="190">
        <v>0</v>
      </c>
      <c r="N333" s="190">
        <v>0</v>
      </c>
      <c r="O333" s="190">
        <v>0</v>
      </c>
      <c r="P333" s="198"/>
      <c r="Q333" s="198"/>
    </row>
    <row r="334" spans="1:17" s="114" customFormat="1" ht="45" customHeight="1" x14ac:dyDescent="0.25">
      <c r="A334" s="357"/>
      <c r="B334" s="440"/>
      <c r="C334" s="124" t="s">
        <v>645</v>
      </c>
      <c r="D334" s="249"/>
      <c r="E334" s="33" t="s">
        <v>642</v>
      </c>
      <c r="F334" s="33" t="s">
        <v>137</v>
      </c>
      <c r="G334" s="33" t="s">
        <v>21</v>
      </c>
      <c r="H334" s="33" t="s">
        <v>646</v>
      </c>
      <c r="I334" s="33" t="s">
        <v>644</v>
      </c>
      <c r="J334" s="190">
        <v>300</v>
      </c>
      <c r="K334" s="190">
        <v>300</v>
      </c>
      <c r="L334" s="190">
        <v>300</v>
      </c>
      <c r="M334" s="190">
        <v>300</v>
      </c>
      <c r="N334" s="190">
        <v>0</v>
      </c>
      <c r="O334" s="190">
        <v>0</v>
      </c>
      <c r="P334" s="198"/>
      <c r="Q334" s="198"/>
    </row>
    <row r="335" spans="1:17" s="61" customFormat="1" ht="45" customHeight="1" x14ac:dyDescent="0.25">
      <c r="A335" s="450" t="s">
        <v>647</v>
      </c>
      <c r="B335" s="451"/>
      <c r="C335" s="451"/>
      <c r="D335" s="451"/>
      <c r="E335" s="451"/>
      <c r="F335" s="451"/>
      <c r="G335" s="451"/>
      <c r="H335" s="451"/>
      <c r="I335" s="451"/>
      <c r="J335" s="451"/>
      <c r="K335" s="451"/>
      <c r="L335" s="451"/>
      <c r="M335" s="451"/>
      <c r="N335" s="451"/>
      <c r="O335" s="452"/>
    </row>
    <row r="336" spans="1:17" s="114" customFormat="1" ht="45" customHeight="1" x14ac:dyDescent="0.25">
      <c r="A336" s="250"/>
      <c r="B336" s="251" t="s">
        <v>648</v>
      </c>
      <c r="C336" s="219"/>
      <c r="D336" s="18"/>
      <c r="E336" s="18"/>
      <c r="F336" s="18"/>
      <c r="G336" s="18"/>
      <c r="H336" s="18"/>
      <c r="I336" s="18"/>
      <c r="J336" s="208">
        <f>J337+J338+J339+J340+J343+J344+J345+J342</f>
        <v>221310.90000000002</v>
      </c>
      <c r="K336" s="208">
        <f t="shared" ref="K336" si="80">K337+K338+K339+K340+K343+K344+K345+K342</f>
        <v>221310.90000000002</v>
      </c>
      <c r="L336" s="208">
        <f>SUM(L337:L345)</f>
        <v>26808.639999999999</v>
      </c>
      <c r="M336" s="208">
        <f>SUM(M337:M346)</f>
        <v>8905.5</v>
      </c>
      <c r="N336" s="208">
        <f t="shared" ref="N336:O336" si="81">SUM(N337:N346)</f>
        <v>4068.9</v>
      </c>
      <c r="O336" s="208">
        <f t="shared" si="81"/>
        <v>4234.8999999999996</v>
      </c>
    </row>
    <row r="337" spans="1:17" s="114" customFormat="1" ht="45" customHeight="1" x14ac:dyDescent="0.25">
      <c r="A337" s="406">
        <v>902</v>
      </c>
      <c r="B337" s="356" t="s">
        <v>649</v>
      </c>
      <c r="C337" s="107" t="s">
        <v>650</v>
      </c>
      <c r="D337" s="69" t="s">
        <v>651</v>
      </c>
      <c r="E337" s="70" t="s">
        <v>652</v>
      </c>
      <c r="F337" s="71" t="s">
        <v>21</v>
      </c>
      <c r="G337" s="71" t="s">
        <v>115</v>
      </c>
      <c r="H337" s="71" t="s">
        <v>427</v>
      </c>
      <c r="I337" s="71" t="s">
        <v>278</v>
      </c>
      <c r="J337" s="204"/>
      <c r="K337" s="204"/>
      <c r="L337" s="204">
        <v>0</v>
      </c>
      <c r="M337" s="204">
        <v>0</v>
      </c>
      <c r="N337" s="204">
        <v>0</v>
      </c>
      <c r="O337" s="204">
        <v>0</v>
      </c>
    </row>
    <row r="338" spans="1:17" s="114" customFormat="1" ht="45" customHeight="1" x14ac:dyDescent="0.25">
      <c r="A338" s="406"/>
      <c r="B338" s="357"/>
      <c r="C338" s="107" t="s">
        <v>653</v>
      </c>
      <c r="D338" s="69" t="s">
        <v>651</v>
      </c>
      <c r="E338" s="70" t="s">
        <v>652</v>
      </c>
      <c r="F338" s="71" t="s">
        <v>21</v>
      </c>
      <c r="G338" s="71" t="s">
        <v>220</v>
      </c>
      <c r="H338" s="71" t="s">
        <v>427</v>
      </c>
      <c r="I338" s="71" t="s">
        <v>278</v>
      </c>
      <c r="J338" s="204">
        <v>432.4</v>
      </c>
      <c r="K338" s="204">
        <v>432.4</v>
      </c>
      <c r="L338" s="204">
        <v>449.7</v>
      </c>
      <c r="M338" s="204">
        <v>472.6</v>
      </c>
      <c r="N338" s="204">
        <v>491.5</v>
      </c>
      <c r="O338" s="204">
        <v>511.2</v>
      </c>
    </row>
    <row r="339" spans="1:17" s="114" customFormat="1" ht="45" customHeight="1" x14ac:dyDescent="0.25">
      <c r="A339" s="406"/>
      <c r="B339" s="357"/>
      <c r="C339" s="107" t="s">
        <v>654</v>
      </c>
      <c r="D339" s="69" t="s">
        <v>655</v>
      </c>
      <c r="E339" s="70" t="s">
        <v>652</v>
      </c>
      <c r="F339" s="71" t="s">
        <v>21</v>
      </c>
      <c r="G339" s="71" t="s">
        <v>115</v>
      </c>
      <c r="H339" s="71" t="s">
        <v>452</v>
      </c>
      <c r="I339" s="71" t="s">
        <v>278</v>
      </c>
      <c r="J339" s="204"/>
      <c r="K339" s="204"/>
      <c r="L339" s="204"/>
      <c r="M339" s="204">
        <v>0</v>
      </c>
      <c r="N339" s="204">
        <v>0</v>
      </c>
      <c r="O339" s="204">
        <v>0</v>
      </c>
    </row>
    <row r="340" spans="1:17" s="114" customFormat="1" ht="45" customHeight="1" x14ac:dyDescent="0.25">
      <c r="A340" s="406"/>
      <c r="B340" s="407"/>
      <c r="C340" s="107" t="s">
        <v>656</v>
      </c>
      <c r="D340" s="69" t="s">
        <v>655</v>
      </c>
      <c r="E340" s="70" t="s">
        <v>652</v>
      </c>
      <c r="F340" s="71" t="s">
        <v>21</v>
      </c>
      <c r="G340" s="71" t="s">
        <v>220</v>
      </c>
      <c r="H340" s="71" t="s">
        <v>452</v>
      </c>
      <c r="I340" s="71" t="s">
        <v>278</v>
      </c>
      <c r="J340" s="204">
        <v>1018.2</v>
      </c>
      <c r="K340" s="204">
        <v>1018.2</v>
      </c>
      <c r="L340" s="204">
        <v>1058.94</v>
      </c>
      <c r="M340" s="204">
        <v>1112.9000000000001</v>
      </c>
      <c r="N340" s="204">
        <v>1157.4000000000001</v>
      </c>
      <c r="O340" s="204">
        <v>1203.7</v>
      </c>
    </row>
    <row r="341" spans="1:17" s="114" customFormat="1" ht="45" customHeight="1" x14ac:dyDescent="0.25">
      <c r="A341" s="235"/>
      <c r="B341" s="171"/>
      <c r="C341" s="107" t="s">
        <v>657</v>
      </c>
      <c r="D341" s="69"/>
      <c r="E341" s="70"/>
      <c r="F341" s="71" t="s">
        <v>137</v>
      </c>
      <c r="G341" s="71" t="s">
        <v>64</v>
      </c>
      <c r="H341" s="71" t="s">
        <v>658</v>
      </c>
      <c r="I341" s="71" t="s">
        <v>659</v>
      </c>
      <c r="J341" s="204">
        <v>0</v>
      </c>
      <c r="K341" s="204">
        <v>0</v>
      </c>
      <c r="L341" s="204">
        <v>20000</v>
      </c>
      <c r="M341" s="204"/>
      <c r="N341" s="204">
        <v>0</v>
      </c>
      <c r="O341" s="204">
        <v>0</v>
      </c>
    </row>
    <row r="342" spans="1:17" s="114" customFormat="1" ht="45" customHeight="1" x14ac:dyDescent="0.25">
      <c r="A342" s="235"/>
      <c r="B342" s="356" t="s">
        <v>660</v>
      </c>
      <c r="C342" s="107" t="s">
        <v>661</v>
      </c>
      <c r="D342" s="69"/>
      <c r="E342" s="70"/>
      <c r="F342" s="71" t="s">
        <v>137</v>
      </c>
      <c r="G342" s="71" t="s">
        <v>64</v>
      </c>
      <c r="H342" s="71" t="s">
        <v>662</v>
      </c>
      <c r="I342" s="71" t="s">
        <v>659</v>
      </c>
      <c r="J342" s="204">
        <v>78230.7</v>
      </c>
      <c r="K342" s="204">
        <v>78230.7</v>
      </c>
      <c r="L342" s="204">
        <v>0</v>
      </c>
      <c r="M342" s="204">
        <v>0</v>
      </c>
      <c r="N342" s="204">
        <v>0</v>
      </c>
      <c r="O342" s="204">
        <v>0</v>
      </c>
    </row>
    <row r="343" spans="1:17" s="114" customFormat="1" ht="45" customHeight="1" x14ac:dyDescent="0.25">
      <c r="A343" s="235"/>
      <c r="B343" s="407"/>
      <c r="C343" s="107" t="s">
        <v>663</v>
      </c>
      <c r="D343" s="69"/>
      <c r="E343" s="70"/>
      <c r="F343" s="71" t="s">
        <v>137</v>
      </c>
      <c r="G343" s="71" t="s">
        <v>64</v>
      </c>
      <c r="H343" s="71" t="s">
        <v>662</v>
      </c>
      <c r="I343" s="71" t="s">
        <v>664</v>
      </c>
      <c r="J343" s="204">
        <v>123329.60000000001</v>
      </c>
      <c r="K343" s="204">
        <v>123329.60000000001</v>
      </c>
      <c r="L343" s="204">
        <v>0</v>
      </c>
      <c r="M343" s="204">
        <v>0</v>
      </c>
      <c r="N343" s="204">
        <v>0</v>
      </c>
      <c r="O343" s="204">
        <v>0</v>
      </c>
    </row>
    <row r="344" spans="1:17" s="114" customFormat="1" ht="45" customHeight="1" x14ac:dyDescent="0.25">
      <c r="A344" s="235"/>
      <c r="B344" s="356" t="s">
        <v>665</v>
      </c>
      <c r="C344" s="445" t="s">
        <v>666</v>
      </c>
      <c r="D344" s="447" t="s">
        <v>667</v>
      </c>
      <c r="E344" s="70"/>
      <c r="F344" s="71" t="s">
        <v>137</v>
      </c>
      <c r="G344" s="71" t="s">
        <v>137</v>
      </c>
      <c r="H344" s="70" t="s">
        <v>668</v>
      </c>
      <c r="I344" s="71" t="s">
        <v>659</v>
      </c>
      <c r="J344" s="204">
        <v>11000</v>
      </c>
      <c r="K344" s="204">
        <v>11000</v>
      </c>
      <c r="L344" s="204">
        <v>5300</v>
      </c>
      <c r="M344" s="204">
        <v>5000</v>
      </c>
      <c r="N344" s="204">
        <v>0</v>
      </c>
      <c r="O344" s="204">
        <v>0</v>
      </c>
    </row>
    <row r="345" spans="1:17" s="114" customFormat="1" ht="33" customHeight="1" x14ac:dyDescent="0.25">
      <c r="A345" s="250">
        <v>902</v>
      </c>
      <c r="B345" s="407"/>
      <c r="C345" s="446"/>
      <c r="D345" s="448"/>
      <c r="E345" s="70"/>
      <c r="F345" s="69" t="s">
        <v>137</v>
      </c>
      <c r="G345" s="69" t="s">
        <v>137</v>
      </c>
      <c r="H345" s="70" t="s">
        <v>668</v>
      </c>
      <c r="I345" s="70" t="s">
        <v>664</v>
      </c>
      <c r="J345" s="205">
        <v>7300</v>
      </c>
      <c r="K345" s="205">
        <v>7300</v>
      </c>
      <c r="L345" s="205">
        <v>0</v>
      </c>
      <c r="M345" s="205">
        <v>0</v>
      </c>
      <c r="N345" s="205">
        <v>0</v>
      </c>
      <c r="O345" s="205">
        <v>0</v>
      </c>
      <c r="P345" s="198"/>
      <c r="Q345" s="198"/>
    </row>
    <row r="346" spans="1:17" s="74" customFormat="1" ht="45" customHeight="1" x14ac:dyDescent="0.25">
      <c r="A346" s="252"/>
      <c r="B346" s="253" t="s">
        <v>669</v>
      </c>
      <c r="C346" s="254" t="s">
        <v>670</v>
      </c>
      <c r="D346" s="31" t="s">
        <v>671</v>
      </c>
      <c r="E346" s="18"/>
      <c r="F346" s="18" t="s">
        <v>672</v>
      </c>
      <c r="G346" s="18" t="s">
        <v>137</v>
      </c>
      <c r="H346" s="18" t="s">
        <v>673</v>
      </c>
      <c r="I346" s="18" t="s">
        <v>33</v>
      </c>
      <c r="J346" s="206">
        <v>0</v>
      </c>
      <c r="K346" s="206">
        <v>0</v>
      </c>
      <c r="L346" s="207">
        <v>0</v>
      </c>
      <c r="M346" s="208">
        <v>2320</v>
      </c>
      <c r="N346" s="208">
        <v>2420</v>
      </c>
      <c r="O346" s="208">
        <v>2520</v>
      </c>
    </row>
    <row r="347" spans="1:17" s="61" customFormat="1" ht="26.4" customHeight="1" x14ac:dyDescent="0.25">
      <c r="A347" s="255">
        <v>905</v>
      </c>
      <c r="B347" s="358" t="s">
        <v>675</v>
      </c>
      <c r="C347" s="359"/>
      <c r="D347" s="359"/>
      <c r="E347" s="359"/>
      <c r="F347" s="359"/>
      <c r="G347" s="359"/>
      <c r="H347" s="360"/>
      <c r="I347" s="287"/>
      <c r="J347" s="288">
        <f>J349+J350+J351</f>
        <v>46897.5</v>
      </c>
      <c r="K347" s="288">
        <f t="shared" ref="K347:O347" si="82">K349+K350+K351</f>
        <v>46878.7</v>
      </c>
      <c r="L347" s="288">
        <f>L349+L350+L351</f>
        <v>40743.5</v>
      </c>
      <c r="M347" s="288">
        <f t="shared" si="82"/>
        <v>41157.599999999999</v>
      </c>
      <c r="N347" s="288">
        <f t="shared" si="82"/>
        <v>42908.6</v>
      </c>
      <c r="O347" s="288">
        <f t="shared" si="82"/>
        <v>43150.9</v>
      </c>
    </row>
    <row r="348" spans="1:17" s="257" customFormat="1" ht="30.75" customHeight="1" x14ac:dyDescent="0.35">
      <c r="A348" s="256"/>
      <c r="B348" s="361" t="s">
        <v>15</v>
      </c>
      <c r="C348" s="362"/>
      <c r="D348" s="362"/>
      <c r="E348" s="362"/>
      <c r="F348" s="362"/>
      <c r="G348" s="362"/>
      <c r="H348" s="362"/>
      <c r="I348" s="362"/>
      <c r="J348" s="362"/>
      <c r="K348" s="362"/>
      <c r="L348" s="362"/>
      <c r="M348" s="362"/>
      <c r="N348" s="362"/>
      <c r="O348" s="363"/>
    </row>
    <row r="349" spans="1:17" s="257" customFormat="1" ht="14.25" customHeight="1" x14ac:dyDescent="0.25">
      <c r="A349" s="364">
        <v>905</v>
      </c>
      <c r="B349" s="368" t="s">
        <v>676</v>
      </c>
      <c r="C349" s="258"/>
      <c r="D349" s="259"/>
      <c r="E349" s="259"/>
      <c r="F349" s="259" t="s">
        <v>20</v>
      </c>
      <c r="G349" s="259" t="s">
        <v>672</v>
      </c>
      <c r="H349" s="260"/>
      <c r="I349" s="259"/>
      <c r="J349" s="261">
        <f>SUM(J352+J357+J359)</f>
        <v>31751.5</v>
      </c>
      <c r="K349" s="261">
        <f>SUM(K352+K359+K357)</f>
        <v>31732.7</v>
      </c>
      <c r="L349" s="261">
        <f>SUM(L352+L357+L359)</f>
        <v>33243.5</v>
      </c>
      <c r="M349" s="261">
        <f>SUM(M352+M357+M359)</f>
        <v>35157.599999999999</v>
      </c>
      <c r="N349" s="261">
        <f>SUM(N352+N357+N359)</f>
        <v>36908.6</v>
      </c>
      <c r="O349" s="261">
        <f>SUM(O352+O357+O359)</f>
        <v>37150.9</v>
      </c>
    </row>
    <row r="350" spans="1:17" s="257" customFormat="1" ht="70.8" customHeight="1" x14ac:dyDescent="0.25">
      <c r="A350" s="365"/>
      <c r="B350" s="369"/>
      <c r="C350" s="258" t="s">
        <v>677</v>
      </c>
      <c r="D350" s="259"/>
      <c r="E350" s="259"/>
      <c r="F350" s="259" t="s">
        <v>406</v>
      </c>
      <c r="G350" s="259" t="s">
        <v>20</v>
      </c>
      <c r="H350" s="260"/>
      <c r="I350" s="259"/>
      <c r="J350" s="261">
        <v>2346</v>
      </c>
      <c r="K350" s="261">
        <v>2346</v>
      </c>
      <c r="L350" s="261">
        <f t="shared" ref="L350:O351" si="83">SUM(L365)</f>
        <v>6000</v>
      </c>
      <c r="M350" s="261">
        <f t="shared" si="83"/>
        <v>6000</v>
      </c>
      <c r="N350" s="261">
        <f t="shared" si="83"/>
        <v>6000</v>
      </c>
      <c r="O350" s="261">
        <f t="shared" si="83"/>
        <v>6000</v>
      </c>
    </row>
    <row r="351" spans="1:17" s="264" customFormat="1" ht="26.4" customHeight="1" x14ac:dyDescent="0.25">
      <c r="A351" s="366"/>
      <c r="B351" s="262"/>
      <c r="C351" s="263"/>
      <c r="D351" s="259"/>
      <c r="E351" s="259"/>
      <c r="F351" s="259" t="s">
        <v>406</v>
      </c>
      <c r="G351" s="259" t="s">
        <v>21</v>
      </c>
      <c r="H351" s="260"/>
      <c r="I351" s="259"/>
      <c r="J351" s="261">
        <v>12800</v>
      </c>
      <c r="K351" s="261">
        <v>12800</v>
      </c>
      <c r="L351" s="261">
        <f t="shared" si="83"/>
        <v>1500</v>
      </c>
      <c r="M351" s="261">
        <f t="shared" si="83"/>
        <v>0</v>
      </c>
      <c r="N351" s="261">
        <f t="shared" si="83"/>
        <v>0</v>
      </c>
      <c r="O351" s="261">
        <f t="shared" si="83"/>
        <v>0</v>
      </c>
    </row>
    <row r="352" spans="1:17" s="264" customFormat="1" ht="33" customHeight="1" x14ac:dyDescent="0.25">
      <c r="A352" s="366"/>
      <c r="B352" s="370"/>
      <c r="C352" s="373" t="s">
        <v>678</v>
      </c>
      <c r="D352" s="265" t="s">
        <v>679</v>
      </c>
      <c r="E352" s="265" t="s">
        <v>680</v>
      </c>
      <c r="F352" s="266" t="s">
        <v>20</v>
      </c>
      <c r="G352" s="266" t="s">
        <v>672</v>
      </c>
      <c r="H352" s="267" t="s">
        <v>681</v>
      </c>
      <c r="I352" s="266" t="s">
        <v>682</v>
      </c>
      <c r="J352" s="268">
        <f t="shared" ref="J352:O352" si="84">J354+J355+J356</f>
        <v>28058</v>
      </c>
      <c r="K352" s="268">
        <f t="shared" si="84"/>
        <v>28058</v>
      </c>
      <c r="L352" s="269">
        <f>L354+L355+L356</f>
        <v>29246.800000000003</v>
      </c>
      <c r="M352" s="269">
        <f t="shared" si="84"/>
        <v>30493.499999999996</v>
      </c>
      <c r="N352" s="269">
        <f t="shared" si="84"/>
        <v>31399.4</v>
      </c>
      <c r="O352" s="269">
        <f t="shared" si="84"/>
        <v>31399.4</v>
      </c>
    </row>
    <row r="353" spans="1:45" s="264" customFormat="1" ht="22.8" customHeight="1" x14ac:dyDescent="0.25">
      <c r="A353" s="366"/>
      <c r="B353" s="371"/>
      <c r="C353" s="374"/>
      <c r="D353" s="265"/>
      <c r="E353" s="265"/>
      <c r="F353" s="266"/>
      <c r="G353" s="266"/>
      <c r="H353" s="267"/>
      <c r="I353" s="266"/>
      <c r="J353" s="268"/>
      <c r="K353" s="268"/>
      <c r="L353" s="269"/>
      <c r="M353" s="269"/>
      <c r="N353" s="269"/>
      <c r="O353" s="269"/>
    </row>
    <row r="354" spans="1:45" s="264" customFormat="1" ht="30" customHeight="1" x14ac:dyDescent="0.25">
      <c r="A354" s="366"/>
      <c r="B354" s="371"/>
      <c r="C354" s="374"/>
      <c r="D354" s="270"/>
      <c r="E354" s="270"/>
      <c r="F354" s="271" t="s">
        <v>20</v>
      </c>
      <c r="G354" s="271" t="s">
        <v>672</v>
      </c>
      <c r="H354" s="272" t="s">
        <v>681</v>
      </c>
      <c r="I354" s="271" t="s">
        <v>27</v>
      </c>
      <c r="J354" s="273">
        <v>21622.5</v>
      </c>
      <c r="K354" s="273">
        <v>21622.5</v>
      </c>
      <c r="L354" s="274">
        <v>22487.200000000001</v>
      </c>
      <c r="M354" s="274">
        <v>23385.599999999999</v>
      </c>
      <c r="N354" s="274">
        <v>24081.4</v>
      </c>
      <c r="O354" s="274">
        <v>24081.4</v>
      </c>
    </row>
    <row r="355" spans="1:45" s="264" customFormat="1" ht="37.200000000000003" customHeight="1" x14ac:dyDescent="0.25">
      <c r="A355" s="366"/>
      <c r="B355" s="371"/>
      <c r="C355" s="375"/>
      <c r="D355" s="270"/>
      <c r="E355" s="270"/>
      <c r="F355" s="271" t="s">
        <v>20</v>
      </c>
      <c r="G355" s="271" t="s">
        <v>672</v>
      </c>
      <c r="H355" s="272" t="s">
        <v>427</v>
      </c>
      <c r="I355" s="271" t="s">
        <v>28</v>
      </c>
      <c r="J355" s="273">
        <v>6435.5</v>
      </c>
      <c r="K355" s="273">
        <v>6435.5</v>
      </c>
      <c r="L355" s="274">
        <v>6740.7</v>
      </c>
      <c r="M355" s="274">
        <v>7039.8</v>
      </c>
      <c r="N355" s="274">
        <v>7249.9</v>
      </c>
      <c r="O355" s="274">
        <v>7249.9</v>
      </c>
    </row>
    <row r="356" spans="1:45" s="264" customFormat="1" ht="36" customHeight="1" x14ac:dyDescent="0.25">
      <c r="A356" s="366"/>
      <c r="B356" s="371"/>
      <c r="C356" s="270" t="s">
        <v>683</v>
      </c>
      <c r="D356" s="270"/>
      <c r="E356" s="270"/>
      <c r="F356" s="271" t="s">
        <v>20</v>
      </c>
      <c r="G356" s="271" t="s">
        <v>672</v>
      </c>
      <c r="H356" s="272" t="s">
        <v>681</v>
      </c>
      <c r="I356" s="271" t="s">
        <v>30</v>
      </c>
      <c r="J356" s="273">
        <v>0</v>
      </c>
      <c r="K356" s="273">
        <v>0</v>
      </c>
      <c r="L356" s="274">
        <v>18.899999999999999</v>
      </c>
      <c r="M356" s="274">
        <v>68.099999999999994</v>
      </c>
      <c r="N356" s="274">
        <v>68.099999999999994</v>
      </c>
      <c r="O356" s="274">
        <v>68.099999999999994</v>
      </c>
    </row>
    <row r="357" spans="1:45" s="264" customFormat="1" ht="51" customHeight="1" x14ac:dyDescent="0.25">
      <c r="A357" s="366"/>
      <c r="B357" s="371"/>
      <c r="C357" s="275" t="s">
        <v>684</v>
      </c>
      <c r="D357" s="373"/>
      <c r="E357" s="373"/>
      <c r="F357" s="266" t="s">
        <v>20</v>
      </c>
      <c r="G357" s="266" t="s">
        <v>672</v>
      </c>
      <c r="H357" s="260" t="s">
        <v>681</v>
      </c>
      <c r="I357" s="276" t="s">
        <v>685</v>
      </c>
      <c r="J357" s="277">
        <f>SUM(J358)</f>
        <v>3690.2</v>
      </c>
      <c r="K357" s="277">
        <f>SUM(K358)</f>
        <v>3671.4</v>
      </c>
      <c r="L357" s="261">
        <v>3992.7</v>
      </c>
      <c r="M357" s="261">
        <f>M358</f>
        <v>4618.1000000000004</v>
      </c>
      <c r="N357" s="261">
        <f>N358</f>
        <v>5463.2</v>
      </c>
      <c r="O357" s="261">
        <f>O358</f>
        <v>5705.5</v>
      </c>
    </row>
    <row r="358" spans="1:45" s="264" customFormat="1" ht="41.4" customHeight="1" x14ac:dyDescent="0.25">
      <c r="A358" s="366"/>
      <c r="B358" s="371"/>
      <c r="C358" s="275"/>
      <c r="D358" s="375"/>
      <c r="E358" s="375"/>
      <c r="F358" s="266" t="s">
        <v>20</v>
      </c>
      <c r="G358" s="266" t="s">
        <v>672</v>
      </c>
      <c r="H358" s="260" t="s">
        <v>681</v>
      </c>
      <c r="I358" s="276" t="s">
        <v>33</v>
      </c>
      <c r="J358" s="277">
        <v>3690.2</v>
      </c>
      <c r="K358" s="277">
        <v>3671.4</v>
      </c>
      <c r="L358" s="261">
        <v>3992.7</v>
      </c>
      <c r="M358" s="261">
        <v>4618.1000000000004</v>
      </c>
      <c r="N358" s="261">
        <v>5463.2</v>
      </c>
      <c r="O358" s="261">
        <v>5705.5</v>
      </c>
    </row>
    <row r="359" spans="1:45" s="264" customFormat="1" ht="37.5" customHeight="1" x14ac:dyDescent="0.25">
      <c r="A359" s="367"/>
      <c r="B359" s="371"/>
      <c r="C359" s="278" t="s">
        <v>686</v>
      </c>
      <c r="D359" s="278" t="s">
        <v>687</v>
      </c>
      <c r="E359" s="272" t="s">
        <v>688</v>
      </c>
      <c r="F359" s="279" t="s">
        <v>20</v>
      </c>
      <c r="G359" s="273" t="s">
        <v>672</v>
      </c>
      <c r="H359" s="273" t="s">
        <v>427</v>
      </c>
      <c r="I359" s="274" t="s">
        <v>689</v>
      </c>
      <c r="J359" s="274">
        <v>3.3</v>
      </c>
      <c r="K359" s="274">
        <v>3.3</v>
      </c>
      <c r="L359" s="274">
        <f>L361+L362+L363</f>
        <v>4</v>
      </c>
      <c r="M359" s="278">
        <f>M361+M362+M363</f>
        <v>46</v>
      </c>
      <c r="N359" s="278">
        <f>N361+N362+N363</f>
        <v>46</v>
      </c>
      <c r="O359" s="272">
        <f>O361+O362+O363</f>
        <v>46</v>
      </c>
    </row>
    <row r="360" spans="1:45" s="264" customFormat="1" ht="33" hidden="1" customHeight="1" x14ac:dyDescent="0.25">
      <c r="A360" s="376"/>
      <c r="B360" s="371"/>
      <c r="C360" s="278"/>
      <c r="D360" s="278"/>
      <c r="E360" s="272"/>
      <c r="F360" s="279"/>
      <c r="G360" s="273"/>
      <c r="H360" s="273"/>
      <c r="I360" s="274"/>
      <c r="J360" s="274"/>
      <c r="K360" s="274"/>
      <c r="L360" s="274"/>
      <c r="M360" s="278"/>
      <c r="N360" s="278"/>
      <c r="O360" s="272"/>
    </row>
    <row r="361" spans="1:45" s="264" customFormat="1" ht="36.9" customHeight="1" x14ac:dyDescent="0.25">
      <c r="A361" s="377"/>
      <c r="B361" s="371"/>
      <c r="C361" s="278" t="s">
        <v>686</v>
      </c>
      <c r="D361" s="278" t="s">
        <v>687</v>
      </c>
      <c r="E361" s="272" t="s">
        <v>688</v>
      </c>
      <c r="F361" s="279" t="s">
        <v>20</v>
      </c>
      <c r="G361" s="273" t="s">
        <v>672</v>
      </c>
      <c r="H361" s="273" t="s">
        <v>690</v>
      </c>
      <c r="I361" s="274" t="s">
        <v>35</v>
      </c>
      <c r="J361" s="274"/>
      <c r="K361" s="274"/>
      <c r="L361" s="274"/>
      <c r="M361" s="278">
        <v>26.4</v>
      </c>
      <c r="N361" s="278">
        <v>26.4</v>
      </c>
      <c r="O361" s="272">
        <v>26.4</v>
      </c>
    </row>
    <row r="362" spans="1:45" s="264" customFormat="1" ht="36.9" customHeight="1" x14ac:dyDescent="0.25">
      <c r="A362" s="377"/>
      <c r="B362" s="371"/>
      <c r="C362" s="278" t="s">
        <v>686</v>
      </c>
      <c r="D362" s="278" t="s">
        <v>687</v>
      </c>
      <c r="E362" s="272" t="s">
        <v>688</v>
      </c>
      <c r="F362" s="279" t="s">
        <v>20</v>
      </c>
      <c r="G362" s="273" t="s">
        <v>672</v>
      </c>
      <c r="H362" s="273" t="s">
        <v>690</v>
      </c>
      <c r="I362" s="274" t="s">
        <v>37</v>
      </c>
      <c r="J362" s="274">
        <v>3.2</v>
      </c>
      <c r="K362" s="274">
        <v>3.2</v>
      </c>
      <c r="L362" s="274">
        <v>4</v>
      </c>
      <c r="M362" s="278">
        <v>3.2</v>
      </c>
      <c r="N362" s="278">
        <v>3.2</v>
      </c>
      <c r="O362" s="272">
        <v>3.2</v>
      </c>
    </row>
    <row r="363" spans="1:45" s="264" customFormat="1" ht="40.65" customHeight="1" x14ac:dyDescent="0.25">
      <c r="A363" s="377"/>
      <c r="B363" s="372"/>
      <c r="C363" s="278" t="s">
        <v>686</v>
      </c>
      <c r="D363" s="278" t="s">
        <v>687</v>
      </c>
      <c r="E363" s="272" t="s">
        <v>688</v>
      </c>
      <c r="F363" s="279" t="s">
        <v>20</v>
      </c>
      <c r="G363" s="273" t="s">
        <v>672</v>
      </c>
      <c r="H363" s="273" t="s">
        <v>681</v>
      </c>
      <c r="I363" s="274" t="s">
        <v>41</v>
      </c>
      <c r="J363" s="274">
        <v>0.1</v>
      </c>
      <c r="K363" s="274">
        <v>0.11</v>
      </c>
      <c r="L363" s="274"/>
      <c r="M363" s="278">
        <v>16.399999999999999</v>
      </c>
      <c r="N363" s="278">
        <v>16.399999999999999</v>
      </c>
      <c r="O363" s="272">
        <v>16.399999999999999</v>
      </c>
    </row>
    <row r="364" spans="1:45" s="264" customFormat="1" ht="40.65" customHeight="1" x14ac:dyDescent="0.25">
      <c r="A364" s="377"/>
      <c r="B364" s="379" t="s">
        <v>691</v>
      </c>
      <c r="C364" s="368" t="s">
        <v>692</v>
      </c>
      <c r="D364" s="280" t="s">
        <v>693</v>
      </c>
      <c r="E364" s="280" t="s">
        <v>694</v>
      </c>
      <c r="F364" s="281" t="s">
        <v>406</v>
      </c>
      <c r="G364" s="281" t="s">
        <v>20</v>
      </c>
      <c r="H364" s="282"/>
      <c r="I364" s="282"/>
      <c r="J364" s="283" t="s">
        <v>695</v>
      </c>
      <c r="K364" s="268">
        <v>15146</v>
      </c>
      <c r="L364" s="261">
        <v>7500</v>
      </c>
      <c r="M364" s="261">
        <f>SUM(M365)</f>
        <v>6000</v>
      </c>
      <c r="N364" s="261">
        <f>SUM(N365)</f>
        <v>6000</v>
      </c>
      <c r="O364" s="261">
        <f>SUM(O365)</f>
        <v>6000</v>
      </c>
    </row>
    <row r="365" spans="1:45" s="264" customFormat="1" ht="44.25" customHeight="1" x14ac:dyDescent="0.25">
      <c r="A365" s="378"/>
      <c r="B365" s="380"/>
      <c r="C365" s="369"/>
      <c r="D365" s="271"/>
      <c r="E365" s="271"/>
      <c r="F365" s="284">
        <v>14</v>
      </c>
      <c r="G365" s="279" t="s">
        <v>20</v>
      </c>
      <c r="H365" s="279" t="s">
        <v>696</v>
      </c>
      <c r="I365" s="279" t="s">
        <v>697</v>
      </c>
      <c r="J365" s="274">
        <v>2346</v>
      </c>
      <c r="K365" s="274">
        <v>2346</v>
      </c>
      <c r="L365" s="261">
        <v>6000</v>
      </c>
      <c r="M365" s="261">
        <v>6000</v>
      </c>
      <c r="N365" s="261">
        <v>6000</v>
      </c>
      <c r="O365" s="261">
        <v>6000</v>
      </c>
    </row>
    <row r="366" spans="1:45" s="264" customFormat="1" ht="62.25" customHeight="1" x14ac:dyDescent="0.25">
      <c r="A366" s="285">
        <v>905</v>
      </c>
      <c r="B366" s="380"/>
      <c r="C366" s="368" t="s">
        <v>692</v>
      </c>
      <c r="D366" s="271" t="s">
        <v>693</v>
      </c>
      <c r="E366" s="271" t="s">
        <v>694</v>
      </c>
      <c r="F366" s="281">
        <v>14</v>
      </c>
      <c r="G366" s="276" t="s">
        <v>21</v>
      </c>
      <c r="H366" s="276"/>
      <c r="I366" s="276"/>
      <c r="J366" s="261">
        <f t="shared" ref="J366:O366" si="85">SUM(J367)</f>
        <v>12800</v>
      </c>
      <c r="K366" s="261">
        <f t="shared" si="85"/>
        <v>12800</v>
      </c>
      <c r="L366" s="261">
        <v>1500</v>
      </c>
      <c r="M366" s="261">
        <f t="shared" si="85"/>
        <v>0</v>
      </c>
      <c r="N366" s="261">
        <f t="shared" si="85"/>
        <v>0</v>
      </c>
      <c r="O366" s="261">
        <f t="shared" si="85"/>
        <v>0</v>
      </c>
    </row>
    <row r="367" spans="1:45" s="264" customFormat="1" ht="44.4" customHeight="1" x14ac:dyDescent="0.25">
      <c r="A367" s="286"/>
      <c r="B367" s="381"/>
      <c r="C367" s="369"/>
      <c r="D367" s="271"/>
      <c r="E367" s="271"/>
      <c r="F367" s="279" t="s">
        <v>406</v>
      </c>
      <c r="G367" s="279" t="s">
        <v>21</v>
      </c>
      <c r="H367" s="279" t="s">
        <v>698</v>
      </c>
      <c r="I367" s="279" t="s">
        <v>644</v>
      </c>
      <c r="J367" s="261">
        <v>12800</v>
      </c>
      <c r="K367" s="261">
        <v>12800</v>
      </c>
      <c r="L367" s="261">
        <v>1500</v>
      </c>
      <c r="M367" s="261">
        <v>0</v>
      </c>
      <c r="N367" s="261">
        <v>0</v>
      </c>
      <c r="O367" s="261">
        <v>0</v>
      </c>
    </row>
    <row r="368" spans="1:45" s="61" customFormat="1" ht="15.6" x14ac:dyDescent="0.3">
      <c r="A368" s="289">
        <v>910</v>
      </c>
      <c r="B368" s="331" t="s">
        <v>699</v>
      </c>
      <c r="C368" s="332"/>
      <c r="D368" s="332"/>
      <c r="E368" s="332"/>
      <c r="F368" s="332"/>
      <c r="G368" s="332"/>
      <c r="H368" s="333"/>
      <c r="I368" s="290"/>
      <c r="J368" s="291">
        <f>J370</f>
        <v>5699.6</v>
      </c>
      <c r="K368" s="292">
        <f>K370</f>
        <v>5699.1</v>
      </c>
      <c r="L368" s="292">
        <f>L370</f>
        <v>5856.0100000000011</v>
      </c>
      <c r="M368" s="292">
        <f t="shared" ref="M368:O368" si="86">M370</f>
        <v>6016.0000000000009</v>
      </c>
      <c r="N368" s="292">
        <f t="shared" si="86"/>
        <v>6304.0000000000009</v>
      </c>
      <c r="O368" s="293">
        <f t="shared" si="86"/>
        <v>6327.0000000000009</v>
      </c>
      <c r="P368" s="13"/>
      <c r="Q368" s="13"/>
      <c r="R368" s="13"/>
      <c r="S368" s="13"/>
      <c r="T368" s="13"/>
      <c r="U368" s="13"/>
      <c r="V368" s="13"/>
      <c r="W368" s="13"/>
      <c r="X368" s="13"/>
      <c r="Y368" s="13"/>
      <c r="Z368" s="13"/>
      <c r="AA368" s="294"/>
      <c r="AB368" s="294"/>
      <c r="AC368" s="294"/>
      <c r="AD368" s="294"/>
      <c r="AE368" s="294"/>
      <c r="AF368" s="294"/>
      <c r="AG368" s="294"/>
      <c r="AH368" s="294"/>
      <c r="AI368" s="294"/>
      <c r="AJ368" s="294"/>
      <c r="AK368" s="294"/>
      <c r="AL368" s="294"/>
      <c r="AM368" s="294"/>
      <c r="AN368" s="294"/>
      <c r="AO368" s="294"/>
      <c r="AP368" s="294"/>
      <c r="AQ368" s="294"/>
      <c r="AR368" s="294"/>
      <c r="AS368" s="294"/>
    </row>
    <row r="369" spans="1:45" s="15" customFormat="1" ht="31.95" customHeight="1" x14ac:dyDescent="0.25">
      <c r="A369" s="334" t="s">
        <v>15</v>
      </c>
      <c r="B369" s="334"/>
      <c r="C369" s="334"/>
      <c r="D369" s="334"/>
      <c r="E369" s="334"/>
      <c r="F369" s="334"/>
      <c r="G369" s="334"/>
      <c r="H369" s="334"/>
      <c r="I369" s="334"/>
      <c r="J369" s="334"/>
      <c r="K369" s="334"/>
      <c r="L369" s="334"/>
      <c r="M369" s="334"/>
      <c r="N369" s="334"/>
      <c r="O369" s="334"/>
      <c r="P369" s="13"/>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5" s="299" customFormat="1" ht="46.5" customHeight="1" x14ac:dyDescent="0.3">
      <c r="A370" s="335">
        <v>910</v>
      </c>
      <c r="B370" s="336" t="s">
        <v>16</v>
      </c>
      <c r="C370" s="224" t="s">
        <v>17</v>
      </c>
      <c r="D370" s="295" t="s">
        <v>700</v>
      </c>
      <c r="E370" s="296" t="s">
        <v>63</v>
      </c>
      <c r="F370" s="18"/>
      <c r="G370" s="18"/>
      <c r="H370" s="18"/>
      <c r="I370" s="18"/>
      <c r="J370" s="208">
        <f>J371</f>
        <v>5699.6</v>
      </c>
      <c r="K370" s="208">
        <f t="shared" ref="K370:O370" si="87">K371</f>
        <v>5699.1</v>
      </c>
      <c r="L370" s="208">
        <f>L371</f>
        <v>5856.0100000000011</v>
      </c>
      <c r="M370" s="297">
        <f t="shared" si="87"/>
        <v>6016.0000000000009</v>
      </c>
      <c r="N370" s="297">
        <f t="shared" si="87"/>
        <v>6304.0000000000009</v>
      </c>
      <c r="O370" s="297">
        <f t="shared" si="87"/>
        <v>6327.0000000000009</v>
      </c>
      <c r="P370" s="298"/>
    </row>
    <row r="371" spans="1:45" s="21" customFormat="1" ht="66.599999999999994" customHeight="1" x14ac:dyDescent="0.25">
      <c r="A371" s="335"/>
      <c r="B371" s="336"/>
      <c r="C371" s="300" t="s">
        <v>701</v>
      </c>
      <c r="D371" s="301" t="s">
        <v>702</v>
      </c>
      <c r="E371" s="17" t="s">
        <v>703</v>
      </c>
      <c r="F371" s="69" t="s">
        <v>20</v>
      </c>
      <c r="G371" s="69" t="s">
        <v>672</v>
      </c>
      <c r="H371" s="238"/>
      <c r="I371" s="238"/>
      <c r="J371" s="40">
        <f>J372+J373+J374+J375+J376+J377+J378+J379+J380</f>
        <v>5699.6</v>
      </c>
      <c r="K371" s="40">
        <f t="shared" ref="K371:O371" si="88">K372+K373+K374+K375+K376+K377+K378+K379+K380</f>
        <v>5699.1</v>
      </c>
      <c r="L371" s="40">
        <f t="shared" si="88"/>
        <v>5856.0100000000011</v>
      </c>
      <c r="M371" s="302">
        <f>SUM(M372:M380)</f>
        <v>6016.0000000000009</v>
      </c>
      <c r="N371" s="302">
        <f t="shared" si="88"/>
        <v>6304.0000000000009</v>
      </c>
      <c r="O371" s="302">
        <f t="shared" si="88"/>
        <v>6327.0000000000009</v>
      </c>
      <c r="P371" s="303"/>
    </row>
    <row r="372" spans="1:45" s="21" customFormat="1" ht="85.8" customHeight="1" x14ac:dyDescent="0.25">
      <c r="A372" s="335"/>
      <c r="B372" s="336"/>
      <c r="C372" s="27" t="s">
        <v>704</v>
      </c>
      <c r="D372" s="304"/>
      <c r="E372" s="17" t="s">
        <v>705</v>
      </c>
      <c r="F372" s="99" t="s">
        <v>20</v>
      </c>
      <c r="G372" s="99" t="s">
        <v>672</v>
      </c>
      <c r="H372" s="99" t="s">
        <v>706</v>
      </c>
      <c r="I372" s="33" t="s">
        <v>27</v>
      </c>
      <c r="J372" s="46">
        <v>2292</v>
      </c>
      <c r="K372" s="46">
        <v>2292</v>
      </c>
      <c r="L372" s="46">
        <v>2492.9</v>
      </c>
      <c r="M372" s="305">
        <f>2560.8+10</f>
        <v>2570.8000000000002</v>
      </c>
      <c r="N372" s="305">
        <f>2626.9+10</f>
        <v>2636.9</v>
      </c>
      <c r="O372" s="305">
        <v>2636.9</v>
      </c>
    </row>
    <row r="373" spans="1:45" s="21" customFormat="1" ht="62.4" customHeight="1" x14ac:dyDescent="0.25">
      <c r="A373" s="335"/>
      <c r="B373" s="336"/>
      <c r="C373" s="27" t="s">
        <v>707</v>
      </c>
      <c r="D373" s="179"/>
      <c r="E373" s="304" t="s">
        <v>708</v>
      </c>
      <c r="F373" s="99" t="s">
        <v>20</v>
      </c>
      <c r="G373" s="99" t="s">
        <v>672</v>
      </c>
      <c r="H373" s="99" t="s">
        <v>706</v>
      </c>
      <c r="I373" s="33" t="s">
        <v>28</v>
      </c>
      <c r="J373" s="46">
        <v>632</v>
      </c>
      <c r="K373" s="46">
        <v>632</v>
      </c>
      <c r="L373" s="46">
        <v>798.1</v>
      </c>
      <c r="M373" s="305">
        <v>763.3</v>
      </c>
      <c r="N373" s="305">
        <v>796.3</v>
      </c>
      <c r="O373" s="305">
        <v>796.3</v>
      </c>
    </row>
    <row r="374" spans="1:45" s="21" customFormat="1" ht="64.8" customHeight="1" x14ac:dyDescent="0.25">
      <c r="A374" s="335"/>
      <c r="B374" s="336"/>
      <c r="C374" s="27" t="s">
        <v>704</v>
      </c>
      <c r="D374" s="179"/>
      <c r="E374" s="17" t="s">
        <v>705</v>
      </c>
      <c r="F374" s="76" t="s">
        <v>20</v>
      </c>
      <c r="G374" s="76" t="s">
        <v>672</v>
      </c>
      <c r="H374" s="76" t="s">
        <v>709</v>
      </c>
      <c r="I374" s="194" t="s">
        <v>27</v>
      </c>
      <c r="J374" s="46">
        <v>1714.9</v>
      </c>
      <c r="K374" s="46">
        <v>1714.4</v>
      </c>
      <c r="L374" s="46">
        <v>1657.3</v>
      </c>
      <c r="M374" s="305">
        <f>1733.5+10</f>
        <v>1743.5</v>
      </c>
      <c r="N374" s="305">
        <f>1784.9+10</f>
        <v>1794.9</v>
      </c>
      <c r="O374" s="305">
        <f>1784.9+10</f>
        <v>1794.9</v>
      </c>
    </row>
    <row r="375" spans="1:45" s="21" customFormat="1" ht="52.8" customHeight="1" x14ac:dyDescent="0.25">
      <c r="A375" s="335"/>
      <c r="B375" s="336"/>
      <c r="C375" s="27" t="s">
        <v>710</v>
      </c>
      <c r="D375" s="179"/>
      <c r="E375" s="304" t="s">
        <v>708</v>
      </c>
      <c r="F375" s="76" t="s">
        <v>20</v>
      </c>
      <c r="G375" s="76" t="s">
        <v>672</v>
      </c>
      <c r="H375" s="76" t="s">
        <v>709</v>
      </c>
      <c r="I375" s="194" t="s">
        <v>28</v>
      </c>
      <c r="J375" s="46">
        <v>465.6</v>
      </c>
      <c r="K375" s="46">
        <v>465.6</v>
      </c>
      <c r="L375" s="46">
        <v>545.1</v>
      </c>
      <c r="M375" s="305">
        <v>522.6</v>
      </c>
      <c r="N375" s="305">
        <v>538.1</v>
      </c>
      <c r="O375" s="305">
        <v>538.1</v>
      </c>
    </row>
    <row r="376" spans="1:45" s="21" customFormat="1" ht="30.6" customHeight="1" x14ac:dyDescent="0.25">
      <c r="A376" s="335"/>
      <c r="B376" s="336"/>
      <c r="C376" s="29" t="s">
        <v>711</v>
      </c>
      <c r="D376" s="179"/>
      <c r="E376" s="30"/>
      <c r="F376" s="31" t="s">
        <v>20</v>
      </c>
      <c r="G376" s="76" t="s">
        <v>672</v>
      </c>
      <c r="H376" s="76" t="s">
        <v>709</v>
      </c>
      <c r="I376" s="31" t="s">
        <v>30</v>
      </c>
      <c r="J376" s="46">
        <v>5.5</v>
      </c>
      <c r="K376" s="46">
        <v>5.5</v>
      </c>
      <c r="L376" s="46">
        <v>4.5999999999999996</v>
      </c>
      <c r="M376" s="305">
        <v>13</v>
      </c>
      <c r="N376" s="305">
        <v>13</v>
      </c>
      <c r="O376" s="305">
        <v>13</v>
      </c>
    </row>
    <row r="377" spans="1:45" s="21" customFormat="1" ht="79.8" customHeight="1" x14ac:dyDescent="0.25">
      <c r="A377" s="335"/>
      <c r="B377" s="336"/>
      <c r="C377" s="306" t="s">
        <v>712</v>
      </c>
      <c r="D377" s="18"/>
      <c r="E377" s="33" t="s">
        <v>713</v>
      </c>
      <c r="F377" s="31" t="s">
        <v>20</v>
      </c>
      <c r="G377" s="76" t="s">
        <v>672</v>
      </c>
      <c r="H377" s="76" t="s">
        <v>709</v>
      </c>
      <c r="I377" s="31" t="s">
        <v>33</v>
      </c>
      <c r="J377" s="46">
        <v>587.1</v>
      </c>
      <c r="K377" s="46">
        <v>587.1</v>
      </c>
      <c r="L377" s="46">
        <v>358</v>
      </c>
      <c r="M377" s="305">
        <v>399.7</v>
      </c>
      <c r="N377" s="305">
        <v>521.70000000000005</v>
      </c>
      <c r="O377" s="305">
        <v>544.70000000000005</v>
      </c>
    </row>
    <row r="378" spans="1:45" s="21" customFormat="1" ht="64.5" customHeight="1" x14ac:dyDescent="0.25">
      <c r="A378" s="335"/>
      <c r="B378" s="336"/>
      <c r="C378" s="92" t="s">
        <v>714</v>
      </c>
      <c r="D378" s="29" t="s">
        <v>34</v>
      </c>
      <c r="E378" s="30" t="s">
        <v>287</v>
      </c>
      <c r="F378" s="31" t="s">
        <v>20</v>
      </c>
      <c r="G378" s="76" t="s">
        <v>672</v>
      </c>
      <c r="H378" s="76" t="s">
        <v>709</v>
      </c>
      <c r="I378" s="31" t="s">
        <v>35</v>
      </c>
      <c r="J378" s="46">
        <v>0</v>
      </c>
      <c r="K378" s="46">
        <v>0</v>
      </c>
      <c r="L378" s="46">
        <v>0</v>
      </c>
      <c r="M378" s="305">
        <v>0</v>
      </c>
      <c r="N378" s="305">
        <v>0</v>
      </c>
      <c r="O378" s="305">
        <v>0</v>
      </c>
    </row>
    <row r="379" spans="1:45" ht="41.4" x14ac:dyDescent="0.25">
      <c r="A379" s="335"/>
      <c r="B379" s="336"/>
      <c r="C379" s="92" t="s">
        <v>714</v>
      </c>
      <c r="D379" s="29" t="s">
        <v>36</v>
      </c>
      <c r="E379" s="30" t="s">
        <v>287</v>
      </c>
      <c r="F379" s="31" t="s">
        <v>20</v>
      </c>
      <c r="G379" s="76" t="s">
        <v>672</v>
      </c>
      <c r="H379" s="76" t="s">
        <v>709</v>
      </c>
      <c r="I379" s="31" t="s">
        <v>37</v>
      </c>
      <c r="J379" s="307">
        <v>0</v>
      </c>
      <c r="K379" s="307">
        <v>0</v>
      </c>
      <c r="L379" s="307">
        <v>0</v>
      </c>
      <c r="M379" s="308">
        <v>0</v>
      </c>
      <c r="N379" s="308">
        <v>0</v>
      </c>
      <c r="O379" s="308">
        <v>0</v>
      </c>
    </row>
    <row r="380" spans="1:45" ht="60.6" customHeight="1" x14ac:dyDescent="0.25">
      <c r="A380" s="335"/>
      <c r="B380" s="336"/>
      <c r="C380" s="29" t="s">
        <v>38</v>
      </c>
      <c r="D380" s="29" t="s">
        <v>39</v>
      </c>
      <c r="E380" s="33" t="s">
        <v>40</v>
      </c>
      <c r="F380" s="31" t="s">
        <v>20</v>
      </c>
      <c r="G380" s="76" t="s">
        <v>672</v>
      </c>
      <c r="H380" s="76" t="s">
        <v>709</v>
      </c>
      <c r="I380" s="31" t="s">
        <v>41</v>
      </c>
      <c r="J380" s="307">
        <v>2.5</v>
      </c>
      <c r="K380" s="307">
        <v>2.5</v>
      </c>
      <c r="L380" s="307">
        <v>0.01</v>
      </c>
      <c r="M380" s="308">
        <v>3.1</v>
      </c>
      <c r="N380" s="308">
        <v>3.1</v>
      </c>
      <c r="O380" s="308">
        <v>3.1</v>
      </c>
    </row>
    <row r="381" spans="1:45" s="313" customFormat="1" ht="22.2" customHeight="1" x14ac:dyDescent="0.25">
      <c r="A381" s="330">
        <v>924</v>
      </c>
      <c r="B381" s="337" t="s">
        <v>754</v>
      </c>
      <c r="C381" s="337"/>
      <c r="D381" s="337"/>
      <c r="E381" s="337"/>
      <c r="F381" s="337"/>
      <c r="G381" s="337"/>
      <c r="H381" s="338"/>
      <c r="I381" s="309"/>
      <c r="J381" s="310">
        <f>J383</f>
        <v>127499.81000000001</v>
      </c>
      <c r="K381" s="310">
        <f t="shared" ref="K381:O381" si="89">K383</f>
        <v>127347.81000000001</v>
      </c>
      <c r="L381" s="310">
        <f t="shared" si="89"/>
        <v>371792.30999999994</v>
      </c>
      <c r="M381" s="310">
        <f t="shared" si="89"/>
        <v>330126.8</v>
      </c>
      <c r="N381" s="310">
        <f t="shared" si="89"/>
        <v>157713.80000000002</v>
      </c>
      <c r="O381" s="310">
        <f t="shared" si="89"/>
        <v>23327.3</v>
      </c>
      <c r="P381" s="311"/>
      <c r="Q381" s="13"/>
      <c r="R381" s="13"/>
      <c r="S381" s="13"/>
      <c r="T381" s="13"/>
      <c r="U381" s="13"/>
      <c r="V381" s="13"/>
      <c r="W381" s="13"/>
      <c r="X381" s="13"/>
      <c r="Y381" s="13"/>
      <c r="Z381" s="13"/>
      <c r="AA381" s="294"/>
      <c r="AB381" s="294"/>
      <c r="AC381" s="294"/>
      <c r="AD381" s="294"/>
      <c r="AE381" s="294"/>
      <c r="AF381" s="294"/>
      <c r="AG381" s="294"/>
      <c r="AH381" s="294"/>
      <c r="AI381" s="294"/>
      <c r="AJ381" s="294"/>
      <c r="AK381" s="294"/>
      <c r="AL381" s="294"/>
      <c r="AM381" s="294"/>
      <c r="AN381" s="294"/>
      <c r="AO381" s="294"/>
      <c r="AP381" s="312"/>
      <c r="AQ381" s="312"/>
      <c r="AR381" s="312"/>
      <c r="AS381" s="312"/>
    </row>
    <row r="382" spans="1:45" s="15" customFormat="1" ht="31.65" customHeight="1" x14ac:dyDescent="0.25">
      <c r="A382" s="334" t="s">
        <v>15</v>
      </c>
      <c r="B382" s="334"/>
      <c r="C382" s="334"/>
      <c r="D382" s="334"/>
      <c r="E382" s="334"/>
      <c r="F382" s="334"/>
      <c r="G382" s="334"/>
      <c r="H382" s="334"/>
      <c r="I382" s="334"/>
      <c r="J382" s="334"/>
      <c r="K382" s="334"/>
      <c r="L382" s="334"/>
      <c r="M382" s="334"/>
      <c r="N382" s="334"/>
      <c r="O382" s="334"/>
      <c r="P382" s="13"/>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5" s="19" customFormat="1" ht="88.2" customHeight="1" x14ac:dyDescent="0.25">
      <c r="A383" s="339">
        <v>924</v>
      </c>
      <c r="B383" s="336" t="s">
        <v>715</v>
      </c>
      <c r="C383" s="16" t="s">
        <v>716</v>
      </c>
      <c r="D383" s="17" t="s">
        <v>717</v>
      </c>
      <c r="E383" s="16" t="s">
        <v>718</v>
      </c>
      <c r="F383" s="18"/>
      <c r="G383" s="18"/>
      <c r="H383" s="18"/>
      <c r="I383" s="18"/>
      <c r="J383" s="40">
        <f>SUM(J391:J408)</f>
        <v>127499.81000000001</v>
      </c>
      <c r="K383" s="40">
        <f>SUM(K391:K408)</f>
        <v>127347.81000000001</v>
      </c>
      <c r="L383" s="40">
        <f>L385+L391+L392+L393+L394+L395+L396+L397+L398+L399+L400+L401+L402+L403+L404+L405+L406+L407+L408</f>
        <v>371792.30999999994</v>
      </c>
      <c r="M383" s="40">
        <f>M384+M385+M388+M389+M390+M391+M392+M393+M394+M395+M396+M397+M398+M399+M400+M401+M402+M403+M404+M405+M406+M407+M408</f>
        <v>330126.8</v>
      </c>
      <c r="N383" s="40">
        <f t="shared" ref="N383:O383" si="90">N384+N385+N388+N389+N390+N391+N392+N393+N394+N395+N396+N397+N398+N399+N400+N401+N402+N403+N404+N405+N406+N407+N408</f>
        <v>157713.80000000002</v>
      </c>
      <c r="O383" s="40">
        <f t="shared" si="90"/>
        <v>23327.3</v>
      </c>
      <c r="R383" s="314"/>
      <c r="S383" s="314"/>
      <c r="T383" s="314"/>
    </row>
    <row r="384" spans="1:45" s="318" customFormat="1" ht="74.400000000000006" customHeight="1" x14ac:dyDescent="0.3">
      <c r="A384" s="340"/>
      <c r="B384" s="336"/>
      <c r="C384" s="315" t="s">
        <v>719</v>
      </c>
      <c r="D384" s="316"/>
      <c r="E384" s="315" t="s">
        <v>720</v>
      </c>
      <c r="F384" s="317" t="s">
        <v>137</v>
      </c>
      <c r="G384" s="317" t="s">
        <v>64</v>
      </c>
      <c r="H384" s="317" t="s">
        <v>721</v>
      </c>
      <c r="I384" s="317" t="s">
        <v>722</v>
      </c>
      <c r="J384" s="44">
        <v>0</v>
      </c>
      <c r="K384" s="44">
        <v>0</v>
      </c>
      <c r="L384" s="44">
        <v>0</v>
      </c>
      <c r="M384" s="44">
        <v>0</v>
      </c>
      <c r="N384" s="44">
        <v>8566.4</v>
      </c>
      <c r="O384" s="44">
        <v>0</v>
      </c>
      <c r="R384" s="319"/>
      <c r="S384" s="319"/>
      <c r="T384" s="319"/>
    </row>
    <row r="385" spans="1:20" s="35" customFormat="1" ht="57" customHeight="1" x14ac:dyDescent="0.25">
      <c r="A385" s="340"/>
      <c r="B385" s="336"/>
      <c r="C385" s="341" t="s">
        <v>723</v>
      </c>
      <c r="D385" s="344"/>
      <c r="E385" s="344" t="s">
        <v>724</v>
      </c>
      <c r="F385" s="320" t="s">
        <v>137</v>
      </c>
      <c r="G385" s="320" t="s">
        <v>64</v>
      </c>
      <c r="H385" s="320" t="s">
        <v>725</v>
      </c>
      <c r="I385" s="320"/>
      <c r="J385" s="321">
        <v>0</v>
      </c>
      <c r="K385" s="321">
        <v>0</v>
      </c>
      <c r="L385" s="321">
        <f>SUM(L386:L387)</f>
        <v>1507</v>
      </c>
      <c r="M385" s="321">
        <f t="shared" ref="M385:O385" si="91">SUM(M386:M387)</f>
        <v>14094.6</v>
      </c>
      <c r="N385" s="321">
        <f t="shared" si="91"/>
        <v>10270.9</v>
      </c>
      <c r="O385" s="321">
        <f t="shared" si="91"/>
        <v>0</v>
      </c>
      <c r="R385" s="322"/>
      <c r="S385" s="322"/>
      <c r="T385" s="322"/>
    </row>
    <row r="386" spans="1:20" s="35" customFormat="1" ht="39" customHeight="1" x14ac:dyDescent="0.25">
      <c r="A386" s="340"/>
      <c r="B386" s="336"/>
      <c r="C386" s="342"/>
      <c r="D386" s="345"/>
      <c r="E386" s="346"/>
      <c r="F386" s="320"/>
      <c r="G386" s="320"/>
      <c r="H386" s="320"/>
      <c r="I386" s="320" t="s">
        <v>722</v>
      </c>
      <c r="J386" s="321"/>
      <c r="K386" s="321"/>
      <c r="L386" s="321">
        <v>1507</v>
      </c>
      <c r="M386" s="321">
        <v>14094.6</v>
      </c>
      <c r="N386" s="321">
        <v>10270.9</v>
      </c>
      <c r="O386" s="321">
        <v>0</v>
      </c>
      <c r="R386" s="322"/>
      <c r="S386" s="322"/>
      <c r="T386" s="322"/>
    </row>
    <row r="387" spans="1:20" s="35" customFormat="1" ht="33.6" customHeight="1" x14ac:dyDescent="0.25">
      <c r="A387" s="340"/>
      <c r="B387" s="336"/>
      <c r="C387" s="343"/>
      <c r="D387" s="346"/>
      <c r="E387" s="323" t="s">
        <v>726</v>
      </c>
      <c r="F387" s="320"/>
      <c r="G387" s="320"/>
      <c r="H387" s="320"/>
      <c r="I387" s="320" t="s">
        <v>35</v>
      </c>
      <c r="J387" s="321"/>
      <c r="K387" s="321"/>
      <c r="L387" s="321">
        <v>0</v>
      </c>
      <c r="M387" s="321">
        <v>0</v>
      </c>
      <c r="N387" s="321">
        <v>0</v>
      </c>
      <c r="O387" s="321">
        <v>0</v>
      </c>
      <c r="R387" s="322"/>
      <c r="S387" s="322"/>
      <c r="T387" s="322"/>
    </row>
    <row r="388" spans="1:20" s="35" customFormat="1" ht="35.4" customHeight="1" x14ac:dyDescent="0.25">
      <c r="A388" s="340"/>
      <c r="B388" s="336"/>
      <c r="C388" s="341" t="s">
        <v>727</v>
      </c>
      <c r="D388" s="344"/>
      <c r="E388" s="341" t="s">
        <v>728</v>
      </c>
      <c r="F388" s="320" t="s">
        <v>137</v>
      </c>
      <c r="G388" s="320" t="s">
        <v>64</v>
      </c>
      <c r="H388" s="320" t="s">
        <v>729</v>
      </c>
      <c r="I388" s="320" t="s">
        <v>722</v>
      </c>
      <c r="J388" s="321">
        <v>0</v>
      </c>
      <c r="K388" s="321">
        <v>0</v>
      </c>
      <c r="L388" s="321">
        <v>0</v>
      </c>
      <c r="M388" s="321">
        <v>0</v>
      </c>
      <c r="N388" s="321">
        <v>79785.600000000006</v>
      </c>
      <c r="O388" s="321">
        <v>0</v>
      </c>
      <c r="R388" s="322"/>
      <c r="S388" s="322"/>
      <c r="T388" s="322"/>
    </row>
    <row r="389" spans="1:20" s="35" customFormat="1" ht="40.799999999999997" customHeight="1" x14ac:dyDescent="0.25">
      <c r="A389" s="340"/>
      <c r="B389" s="336"/>
      <c r="C389" s="342"/>
      <c r="D389" s="345"/>
      <c r="E389" s="342"/>
      <c r="F389" s="320" t="s">
        <v>137</v>
      </c>
      <c r="G389" s="320" t="s">
        <v>64</v>
      </c>
      <c r="H389" s="320" t="s">
        <v>730</v>
      </c>
      <c r="I389" s="320" t="s">
        <v>722</v>
      </c>
      <c r="J389" s="321">
        <v>0</v>
      </c>
      <c r="K389" s="321">
        <v>0</v>
      </c>
      <c r="L389" s="321">
        <v>0</v>
      </c>
      <c r="M389" s="321">
        <v>127436.8</v>
      </c>
      <c r="N389" s="321">
        <v>0</v>
      </c>
      <c r="O389" s="321">
        <v>0</v>
      </c>
      <c r="R389" s="322"/>
      <c r="S389" s="322"/>
      <c r="T389" s="322"/>
    </row>
    <row r="390" spans="1:20" s="35" customFormat="1" ht="43.5" customHeight="1" x14ac:dyDescent="0.25">
      <c r="A390" s="340"/>
      <c r="B390" s="336"/>
      <c r="C390" s="343"/>
      <c r="D390" s="346"/>
      <c r="E390" s="343"/>
      <c r="F390" s="320" t="s">
        <v>137</v>
      </c>
      <c r="G390" s="320" t="s">
        <v>64</v>
      </c>
      <c r="H390" s="320" t="s">
        <v>731</v>
      </c>
      <c r="I390" s="320" t="s">
        <v>722</v>
      </c>
      <c r="J390" s="321">
        <v>0</v>
      </c>
      <c r="K390" s="321">
        <v>0</v>
      </c>
      <c r="L390" s="321">
        <v>0</v>
      </c>
      <c r="M390" s="321">
        <v>67639.600000000006</v>
      </c>
      <c r="N390" s="321">
        <v>0</v>
      </c>
      <c r="O390" s="321">
        <v>0</v>
      </c>
      <c r="R390" s="322"/>
      <c r="S390" s="322"/>
      <c r="T390" s="322"/>
    </row>
    <row r="391" spans="1:20" s="318" customFormat="1" ht="64.2" customHeight="1" x14ac:dyDescent="0.25">
      <c r="A391" s="340"/>
      <c r="B391" s="336"/>
      <c r="C391" s="16" t="s">
        <v>732</v>
      </c>
      <c r="D391" s="17" t="s">
        <v>733</v>
      </c>
      <c r="E391" s="16" t="s">
        <v>726</v>
      </c>
      <c r="F391" s="28" t="s">
        <v>114</v>
      </c>
      <c r="G391" s="28" t="s">
        <v>20</v>
      </c>
      <c r="H391" s="28" t="s">
        <v>734</v>
      </c>
      <c r="I391" s="28" t="s">
        <v>722</v>
      </c>
      <c r="J391" s="324">
        <v>236</v>
      </c>
      <c r="K391" s="324">
        <v>236</v>
      </c>
      <c r="L391" s="324">
        <v>0</v>
      </c>
      <c r="M391" s="324">
        <v>0</v>
      </c>
      <c r="N391" s="324">
        <v>0</v>
      </c>
      <c r="O391" s="324">
        <v>0</v>
      </c>
      <c r="R391" s="319"/>
    </row>
    <row r="392" spans="1:20" s="19" customFormat="1" ht="68.400000000000006" customHeight="1" x14ac:dyDescent="0.25">
      <c r="A392" s="340"/>
      <c r="B392" s="336"/>
      <c r="C392" s="16" t="s">
        <v>732</v>
      </c>
      <c r="D392" s="17" t="s">
        <v>733</v>
      </c>
      <c r="E392" s="16" t="s">
        <v>726</v>
      </c>
      <c r="F392" s="28" t="s">
        <v>114</v>
      </c>
      <c r="G392" s="28" t="s">
        <v>20</v>
      </c>
      <c r="H392" s="28" t="s">
        <v>734</v>
      </c>
      <c r="I392" s="28" t="s">
        <v>35</v>
      </c>
      <c r="J392" s="44">
        <v>191.1</v>
      </c>
      <c r="K392" s="44">
        <v>191.1</v>
      </c>
      <c r="L392" s="45">
        <v>191.1</v>
      </c>
      <c r="M392" s="45">
        <v>191.1</v>
      </c>
      <c r="N392" s="45">
        <v>0</v>
      </c>
      <c r="O392" s="45">
        <v>191.1</v>
      </c>
    </row>
    <row r="393" spans="1:20" s="19" customFormat="1" ht="72.599999999999994" customHeight="1" x14ac:dyDescent="0.25">
      <c r="A393" s="340"/>
      <c r="B393" s="336"/>
      <c r="C393" s="16" t="s">
        <v>732</v>
      </c>
      <c r="D393" s="17" t="s">
        <v>733</v>
      </c>
      <c r="E393" s="16" t="s">
        <v>726</v>
      </c>
      <c r="F393" s="28" t="s">
        <v>114</v>
      </c>
      <c r="G393" s="28" t="s">
        <v>20</v>
      </c>
      <c r="H393" s="28" t="s">
        <v>734</v>
      </c>
      <c r="I393" s="28" t="s">
        <v>41</v>
      </c>
      <c r="J393" s="44">
        <v>0.01</v>
      </c>
      <c r="K393" s="44">
        <v>0.01</v>
      </c>
      <c r="L393" s="45">
        <v>0.01</v>
      </c>
      <c r="M393" s="45">
        <v>0</v>
      </c>
      <c r="N393" s="45">
        <v>0</v>
      </c>
      <c r="O393" s="45">
        <v>0</v>
      </c>
    </row>
    <row r="394" spans="1:20" s="19" customFormat="1" ht="73.8" customHeight="1" x14ac:dyDescent="0.25">
      <c r="A394" s="340"/>
      <c r="B394" s="336"/>
      <c r="C394" s="325" t="s">
        <v>735</v>
      </c>
      <c r="D394" s="17"/>
      <c r="E394" s="16" t="s">
        <v>736</v>
      </c>
      <c r="F394" s="28" t="s">
        <v>114</v>
      </c>
      <c r="G394" s="28" t="s">
        <v>64</v>
      </c>
      <c r="H394" s="28" t="s">
        <v>737</v>
      </c>
      <c r="I394" s="28" t="s">
        <v>33</v>
      </c>
      <c r="J394" s="44">
        <v>230</v>
      </c>
      <c r="K394" s="44">
        <v>230</v>
      </c>
      <c r="L394" s="45">
        <v>0</v>
      </c>
      <c r="M394" s="45">
        <v>0</v>
      </c>
      <c r="N394" s="45">
        <v>0</v>
      </c>
      <c r="O394" s="45">
        <v>0</v>
      </c>
    </row>
    <row r="395" spans="1:20" s="35" customFormat="1" ht="48" customHeight="1" x14ac:dyDescent="0.25">
      <c r="A395" s="340"/>
      <c r="B395" s="336"/>
      <c r="C395" s="325" t="s">
        <v>735</v>
      </c>
      <c r="D395" s="326"/>
      <c r="E395" s="16" t="s">
        <v>736</v>
      </c>
      <c r="F395" s="327" t="s">
        <v>114</v>
      </c>
      <c r="G395" s="327" t="s">
        <v>64</v>
      </c>
      <c r="H395" s="327" t="s">
        <v>737</v>
      </c>
      <c r="I395" s="327" t="s">
        <v>722</v>
      </c>
      <c r="J395" s="321">
        <v>13618.1</v>
      </c>
      <c r="K395" s="321">
        <v>13618.1</v>
      </c>
      <c r="L395" s="321">
        <v>994.4</v>
      </c>
      <c r="M395" s="321">
        <v>0</v>
      </c>
      <c r="N395" s="321">
        <v>40000.300000000003</v>
      </c>
      <c r="O395" s="321">
        <v>10000.299999999999</v>
      </c>
    </row>
    <row r="396" spans="1:20" s="35" customFormat="1" ht="77.400000000000006" customHeight="1" x14ac:dyDescent="0.25">
      <c r="A396" s="340"/>
      <c r="B396" s="336"/>
      <c r="C396" s="16" t="s">
        <v>732</v>
      </c>
      <c r="D396" s="326" t="s">
        <v>738</v>
      </c>
      <c r="E396" s="328" t="s">
        <v>739</v>
      </c>
      <c r="F396" s="327" t="s">
        <v>114</v>
      </c>
      <c r="G396" s="327" t="s">
        <v>64</v>
      </c>
      <c r="H396" s="327" t="s">
        <v>737</v>
      </c>
      <c r="I396" s="327" t="s">
        <v>35</v>
      </c>
      <c r="J396" s="321">
        <v>470.4</v>
      </c>
      <c r="K396" s="321">
        <v>470.4</v>
      </c>
      <c r="L396" s="321">
        <v>485.1</v>
      </c>
      <c r="M396" s="321">
        <v>0</v>
      </c>
      <c r="N396" s="321">
        <v>470.1</v>
      </c>
      <c r="O396" s="321">
        <v>470.1</v>
      </c>
    </row>
    <row r="397" spans="1:20" s="35" customFormat="1" ht="60.6" customHeight="1" x14ac:dyDescent="0.25">
      <c r="A397" s="340"/>
      <c r="B397" s="336"/>
      <c r="C397" s="16" t="s">
        <v>732</v>
      </c>
      <c r="D397" s="326" t="s">
        <v>738</v>
      </c>
      <c r="E397" s="328" t="s">
        <v>739</v>
      </c>
      <c r="F397" s="327" t="s">
        <v>114</v>
      </c>
      <c r="G397" s="327" t="s">
        <v>64</v>
      </c>
      <c r="H397" s="327" t="s">
        <v>737</v>
      </c>
      <c r="I397" s="327" t="s">
        <v>41</v>
      </c>
      <c r="J397" s="321">
        <v>3.9</v>
      </c>
      <c r="K397" s="321">
        <v>3.9</v>
      </c>
      <c r="L397" s="321">
        <v>0</v>
      </c>
      <c r="M397" s="321">
        <v>0</v>
      </c>
      <c r="N397" s="321">
        <v>0</v>
      </c>
      <c r="O397" s="321">
        <v>0</v>
      </c>
    </row>
    <row r="398" spans="1:20" s="35" customFormat="1" ht="70.2" customHeight="1" x14ac:dyDescent="0.25">
      <c r="A398" s="340"/>
      <c r="B398" s="336"/>
      <c r="C398" s="325" t="s">
        <v>735</v>
      </c>
      <c r="D398" s="326"/>
      <c r="E398" s="16" t="s">
        <v>736</v>
      </c>
      <c r="F398" s="327" t="s">
        <v>114</v>
      </c>
      <c r="G398" s="327" t="s">
        <v>64</v>
      </c>
      <c r="H398" s="327" t="s">
        <v>740</v>
      </c>
      <c r="I398" s="327" t="s">
        <v>722</v>
      </c>
      <c r="J398" s="321">
        <v>100000</v>
      </c>
      <c r="K398" s="321">
        <v>100000</v>
      </c>
      <c r="L398" s="321">
        <v>348328.1</v>
      </c>
      <c r="M398" s="321">
        <v>77444.3</v>
      </c>
      <c r="N398" s="321">
        <v>0</v>
      </c>
      <c r="O398" s="321">
        <v>0</v>
      </c>
    </row>
    <row r="399" spans="1:20" s="35" customFormat="1" ht="66.599999999999994" customHeight="1" x14ac:dyDescent="0.25">
      <c r="A399" s="340"/>
      <c r="B399" s="336"/>
      <c r="C399" s="315" t="s">
        <v>741</v>
      </c>
      <c r="D399" s="326" t="s">
        <v>738</v>
      </c>
      <c r="E399" s="328"/>
      <c r="F399" s="327" t="s">
        <v>114</v>
      </c>
      <c r="G399" s="327" t="s">
        <v>64</v>
      </c>
      <c r="H399" s="327" t="s">
        <v>742</v>
      </c>
      <c r="I399" s="327" t="s">
        <v>722</v>
      </c>
      <c r="J399" s="321">
        <v>11785.1</v>
      </c>
      <c r="K399" s="321">
        <v>11785.1</v>
      </c>
      <c r="L399" s="321">
        <v>6428.2</v>
      </c>
      <c r="M399" s="321">
        <v>0</v>
      </c>
      <c r="N399" s="321">
        <v>0</v>
      </c>
      <c r="O399" s="321">
        <v>0</v>
      </c>
    </row>
    <row r="400" spans="1:20" s="35" customFormat="1" ht="64.8" customHeight="1" x14ac:dyDescent="0.25">
      <c r="A400" s="340"/>
      <c r="B400" s="336"/>
      <c r="C400" s="341" t="s">
        <v>743</v>
      </c>
      <c r="D400" s="326"/>
      <c r="E400" s="16" t="s">
        <v>736</v>
      </c>
      <c r="F400" s="327" t="s">
        <v>114</v>
      </c>
      <c r="G400" s="327" t="s">
        <v>21</v>
      </c>
      <c r="H400" s="327" t="s">
        <v>744</v>
      </c>
      <c r="I400" s="327" t="s">
        <v>722</v>
      </c>
      <c r="J400" s="321">
        <v>0</v>
      </c>
      <c r="K400" s="321">
        <v>0</v>
      </c>
      <c r="L400" s="321">
        <v>0</v>
      </c>
      <c r="M400" s="321">
        <v>0</v>
      </c>
      <c r="N400" s="321">
        <v>18454.7</v>
      </c>
      <c r="O400" s="321">
        <v>12500</v>
      </c>
    </row>
    <row r="401" spans="1:17" s="35" customFormat="1" ht="49.5" customHeight="1" x14ac:dyDescent="0.25">
      <c r="A401" s="340"/>
      <c r="B401" s="336"/>
      <c r="C401" s="343"/>
      <c r="D401" s="326" t="s">
        <v>738</v>
      </c>
      <c r="E401" s="328" t="s">
        <v>739</v>
      </c>
      <c r="F401" s="327" t="s">
        <v>114</v>
      </c>
      <c r="G401" s="327" t="s">
        <v>21</v>
      </c>
      <c r="H401" s="327" t="s">
        <v>744</v>
      </c>
      <c r="I401" s="327" t="s">
        <v>35</v>
      </c>
      <c r="J401" s="321">
        <v>91.6</v>
      </c>
      <c r="K401" s="321">
        <v>91.6</v>
      </c>
      <c r="L401" s="321">
        <v>73.3</v>
      </c>
      <c r="M401" s="321">
        <v>73.3</v>
      </c>
      <c r="N401" s="321">
        <v>73.3</v>
      </c>
      <c r="O401" s="321">
        <v>73.3</v>
      </c>
    </row>
    <row r="402" spans="1:17" s="35" customFormat="1" ht="54" customHeight="1" x14ac:dyDescent="0.25">
      <c r="A402" s="340"/>
      <c r="B402" s="336"/>
      <c r="C402" s="347" t="s">
        <v>745</v>
      </c>
      <c r="D402" s="344" t="s">
        <v>746</v>
      </c>
      <c r="E402" s="344" t="s">
        <v>739</v>
      </c>
      <c r="F402" s="327" t="s">
        <v>115</v>
      </c>
      <c r="G402" s="327" t="s">
        <v>64</v>
      </c>
      <c r="H402" s="327" t="s">
        <v>747</v>
      </c>
      <c r="I402" s="327" t="s">
        <v>33</v>
      </c>
      <c r="J402" s="321">
        <v>0</v>
      </c>
      <c r="K402" s="321">
        <v>0</v>
      </c>
      <c r="L402" s="321">
        <v>1215.0999999999999</v>
      </c>
      <c r="M402" s="321">
        <v>0</v>
      </c>
      <c r="N402" s="321">
        <v>0</v>
      </c>
      <c r="O402" s="321">
        <v>0</v>
      </c>
    </row>
    <row r="403" spans="1:17" s="35" customFormat="1" ht="71.400000000000006" customHeight="1" x14ac:dyDescent="0.25">
      <c r="A403" s="340"/>
      <c r="B403" s="336"/>
      <c r="C403" s="348"/>
      <c r="D403" s="346"/>
      <c r="E403" s="346"/>
      <c r="F403" s="327" t="s">
        <v>115</v>
      </c>
      <c r="G403" s="327" t="s">
        <v>64</v>
      </c>
      <c r="H403" s="327" t="s">
        <v>747</v>
      </c>
      <c r="I403" s="327" t="s">
        <v>722</v>
      </c>
      <c r="J403" s="321">
        <v>68.3</v>
      </c>
      <c r="K403" s="321">
        <v>68.3</v>
      </c>
      <c r="L403" s="321">
        <v>5</v>
      </c>
      <c r="M403" s="321">
        <v>3153</v>
      </c>
      <c r="N403" s="321">
        <v>0</v>
      </c>
      <c r="O403" s="321">
        <v>0</v>
      </c>
    </row>
    <row r="404" spans="1:17" s="35" customFormat="1" ht="54" customHeight="1" x14ac:dyDescent="0.25">
      <c r="A404" s="340"/>
      <c r="B404" s="336"/>
      <c r="C404" s="348"/>
      <c r="D404" s="326" t="s">
        <v>738</v>
      </c>
      <c r="E404" s="328" t="s">
        <v>739</v>
      </c>
      <c r="F404" s="327" t="s">
        <v>115</v>
      </c>
      <c r="G404" s="327" t="s">
        <v>64</v>
      </c>
      <c r="H404" s="327" t="s">
        <v>747</v>
      </c>
      <c r="I404" s="327" t="s">
        <v>35</v>
      </c>
      <c r="J404" s="321">
        <v>0.3</v>
      </c>
      <c r="K404" s="321">
        <v>0.3</v>
      </c>
      <c r="L404" s="321">
        <v>2</v>
      </c>
      <c r="M404" s="321">
        <v>1.6</v>
      </c>
      <c r="N404" s="321">
        <v>0</v>
      </c>
      <c r="O404" s="321">
        <v>0</v>
      </c>
    </row>
    <row r="405" spans="1:17" s="35" customFormat="1" ht="54" customHeight="1" x14ac:dyDescent="0.25">
      <c r="A405" s="340"/>
      <c r="B405" s="336"/>
      <c r="C405" s="348"/>
      <c r="D405" s="341" t="s">
        <v>748</v>
      </c>
      <c r="E405" s="328"/>
      <c r="F405" s="327" t="s">
        <v>115</v>
      </c>
      <c r="G405" s="327" t="s">
        <v>64</v>
      </c>
      <c r="H405" s="327" t="s">
        <v>749</v>
      </c>
      <c r="I405" s="327" t="s">
        <v>722</v>
      </c>
      <c r="J405" s="321">
        <v>750</v>
      </c>
      <c r="K405" s="321">
        <v>598</v>
      </c>
      <c r="L405" s="321">
        <v>3000</v>
      </c>
      <c r="M405" s="321">
        <v>40000</v>
      </c>
      <c r="N405" s="321">
        <v>0</v>
      </c>
      <c r="O405" s="321">
        <v>0</v>
      </c>
    </row>
    <row r="406" spans="1:17" s="35" customFormat="1" ht="54" customHeight="1" x14ac:dyDescent="0.25">
      <c r="A406" s="340"/>
      <c r="B406" s="336"/>
      <c r="C406" s="348"/>
      <c r="D406" s="342"/>
      <c r="E406" s="328"/>
      <c r="F406" s="327" t="s">
        <v>115</v>
      </c>
      <c r="G406" s="327" t="s">
        <v>64</v>
      </c>
      <c r="H406" s="327" t="s">
        <v>750</v>
      </c>
      <c r="I406" s="327" t="s">
        <v>33</v>
      </c>
      <c r="J406" s="321">
        <v>0</v>
      </c>
      <c r="K406" s="321">
        <v>0</v>
      </c>
      <c r="L406" s="321">
        <v>5000</v>
      </c>
      <c r="M406" s="321">
        <v>0</v>
      </c>
      <c r="N406" s="321">
        <v>0</v>
      </c>
      <c r="O406" s="321">
        <v>0</v>
      </c>
    </row>
    <row r="407" spans="1:17" s="35" customFormat="1" ht="54" customHeight="1" x14ac:dyDescent="0.25">
      <c r="A407" s="340"/>
      <c r="B407" s="336"/>
      <c r="C407" s="349"/>
      <c r="D407" s="343"/>
      <c r="E407" s="328"/>
      <c r="F407" s="327" t="s">
        <v>115</v>
      </c>
      <c r="G407" s="327" t="s">
        <v>64</v>
      </c>
      <c r="H407" s="327" t="s">
        <v>751</v>
      </c>
      <c r="I407" s="327" t="s">
        <v>33</v>
      </c>
      <c r="J407" s="321">
        <v>0</v>
      </c>
      <c r="K407" s="321">
        <v>0</v>
      </c>
      <c r="L407" s="321">
        <v>4470.5</v>
      </c>
      <c r="M407" s="321">
        <v>0</v>
      </c>
      <c r="N407" s="321">
        <v>0</v>
      </c>
      <c r="O407" s="321">
        <v>0</v>
      </c>
    </row>
    <row r="408" spans="1:17" s="35" customFormat="1" ht="54" customHeight="1" x14ac:dyDescent="0.25">
      <c r="A408" s="340"/>
      <c r="B408" s="336"/>
      <c r="C408" s="329" t="s">
        <v>752</v>
      </c>
      <c r="D408" s="326" t="s">
        <v>738</v>
      </c>
      <c r="E408" s="328" t="s">
        <v>739</v>
      </c>
      <c r="F408" s="327" t="s">
        <v>136</v>
      </c>
      <c r="G408" s="327" t="s">
        <v>20</v>
      </c>
      <c r="H408" s="327" t="s">
        <v>753</v>
      </c>
      <c r="I408" s="327" t="s">
        <v>35</v>
      </c>
      <c r="J408" s="321">
        <v>55</v>
      </c>
      <c r="K408" s="321">
        <v>55</v>
      </c>
      <c r="L408" s="321">
        <v>92.5</v>
      </c>
      <c r="M408" s="321">
        <v>92.5</v>
      </c>
      <c r="N408" s="321">
        <v>92.5</v>
      </c>
      <c r="O408" s="321">
        <v>92.5</v>
      </c>
    </row>
    <row r="409" spans="1:17" s="61" customFormat="1" ht="23.25" customHeight="1" x14ac:dyDescent="0.3">
      <c r="A409" s="582">
        <v>925</v>
      </c>
      <c r="B409" s="583" t="s">
        <v>886</v>
      </c>
      <c r="C409" s="584"/>
      <c r="D409" s="584"/>
      <c r="E409" s="584"/>
      <c r="F409" s="584"/>
      <c r="G409" s="584"/>
      <c r="H409" s="584"/>
      <c r="I409" s="585"/>
      <c r="J409" s="586">
        <f>J411+J494+J498</f>
        <v>2232097.0999999996</v>
      </c>
      <c r="K409" s="586">
        <f t="shared" ref="K409:O409" si="92">K411+K494+K498</f>
        <v>2225610.2000000002</v>
      </c>
      <c r="L409" s="586">
        <f t="shared" si="92"/>
        <v>2663166.9</v>
      </c>
      <c r="M409" s="586">
        <f t="shared" si="92"/>
        <v>2343474.5</v>
      </c>
      <c r="N409" s="586">
        <f t="shared" si="92"/>
        <v>2243305.0999999996</v>
      </c>
      <c r="O409" s="586">
        <f t="shared" si="92"/>
        <v>2373719.5999999996</v>
      </c>
      <c r="P409" s="60"/>
    </row>
    <row r="410" spans="1:17" s="257" customFormat="1" ht="38.4" customHeight="1" x14ac:dyDescent="0.35">
      <c r="A410" s="454" t="s">
        <v>755</v>
      </c>
      <c r="B410" s="455"/>
      <c r="C410" s="455"/>
      <c r="D410" s="455"/>
      <c r="E410" s="455"/>
      <c r="F410" s="455"/>
      <c r="G410" s="455"/>
      <c r="H410" s="455"/>
      <c r="I410" s="455"/>
      <c r="J410" s="455"/>
      <c r="K410" s="455"/>
      <c r="L410" s="455"/>
      <c r="M410" s="455"/>
      <c r="N410" s="455"/>
      <c r="O410" s="455"/>
    </row>
    <row r="411" spans="1:17" s="581" customFormat="1" ht="22.2" customHeight="1" x14ac:dyDescent="0.35">
      <c r="A411" s="579"/>
      <c r="B411" s="456" t="s">
        <v>756</v>
      </c>
      <c r="C411" s="579"/>
      <c r="D411" s="579"/>
      <c r="E411" s="579"/>
      <c r="F411" s="579"/>
      <c r="G411" s="579"/>
      <c r="H411" s="579"/>
      <c r="I411" s="579"/>
      <c r="J411" s="580">
        <f>J412+J485+J491</f>
        <v>861608.2</v>
      </c>
      <c r="K411" s="580">
        <f t="shared" ref="K411:O411" si="93">K412+K485+K491</f>
        <v>859678.7</v>
      </c>
      <c r="L411" s="580">
        <f t="shared" si="93"/>
        <v>1139379.4999999998</v>
      </c>
      <c r="M411" s="580">
        <f t="shared" si="93"/>
        <v>791777.70000000007</v>
      </c>
      <c r="N411" s="580">
        <f t="shared" si="93"/>
        <v>637412.30000000005</v>
      </c>
      <c r="O411" s="580">
        <f t="shared" si="93"/>
        <v>682453.60000000021</v>
      </c>
    </row>
    <row r="412" spans="1:17" s="581" customFormat="1" ht="22.2" customHeight="1" x14ac:dyDescent="0.35">
      <c r="A412" s="457">
        <v>925</v>
      </c>
      <c r="B412" s="458" t="s">
        <v>757</v>
      </c>
      <c r="C412" s="579"/>
      <c r="D412" s="579"/>
      <c r="E412" s="579"/>
      <c r="F412" s="579"/>
      <c r="G412" s="579"/>
      <c r="H412" s="579"/>
      <c r="I412" s="579"/>
      <c r="J412" s="580">
        <f>J413+J419+J438+J455</f>
        <v>854315.4</v>
      </c>
      <c r="K412" s="580">
        <f t="shared" ref="K412:O412" si="94">K413+K419+K438+K455</f>
        <v>852441.2</v>
      </c>
      <c r="L412" s="580">
        <f t="shared" si="94"/>
        <v>1133109.2999999998</v>
      </c>
      <c r="M412" s="580">
        <f t="shared" si="94"/>
        <v>784441.60000000009</v>
      </c>
      <c r="N412" s="580">
        <f t="shared" si="94"/>
        <v>628570.80000000005</v>
      </c>
      <c r="O412" s="580">
        <f t="shared" si="94"/>
        <v>673240.40000000014</v>
      </c>
    </row>
    <row r="413" spans="1:17" s="465" customFormat="1" ht="25.5" customHeight="1" x14ac:dyDescent="0.3">
      <c r="A413" s="459"/>
      <c r="B413" s="460"/>
      <c r="C413" s="461"/>
      <c r="D413" s="462"/>
      <c r="E413" s="462"/>
      <c r="F413" s="463" t="s">
        <v>114</v>
      </c>
      <c r="G413" s="463" t="s">
        <v>20</v>
      </c>
      <c r="H413" s="462"/>
      <c r="I413" s="462"/>
      <c r="J413" s="464">
        <f>SUM(J414:J418)</f>
        <v>313005</v>
      </c>
      <c r="K413" s="464">
        <f t="shared" ref="K413:O413" si="95">SUM(K414:K418)</f>
        <v>313005</v>
      </c>
      <c r="L413" s="464">
        <f t="shared" si="95"/>
        <v>358262.3</v>
      </c>
      <c r="M413" s="464">
        <f t="shared" si="95"/>
        <v>266036.40000000002</v>
      </c>
      <c r="N413" s="464">
        <f t="shared" si="95"/>
        <v>182963.5</v>
      </c>
      <c r="O413" s="464">
        <f t="shared" si="95"/>
        <v>213693.6</v>
      </c>
    </row>
    <row r="414" spans="1:17" s="264" customFormat="1" ht="30.6" customHeight="1" x14ac:dyDescent="0.25">
      <c r="A414" s="459"/>
      <c r="B414" s="460"/>
      <c r="C414" s="466" t="s">
        <v>758</v>
      </c>
      <c r="D414" s="467" t="s">
        <v>105</v>
      </c>
      <c r="E414" s="468" t="s">
        <v>759</v>
      </c>
      <c r="F414" s="469" t="s">
        <v>114</v>
      </c>
      <c r="G414" s="470" t="s">
        <v>20</v>
      </c>
      <c r="H414" s="469" t="s">
        <v>760</v>
      </c>
      <c r="I414" s="469" t="s">
        <v>761</v>
      </c>
      <c r="J414" s="471">
        <v>279595.09999999998</v>
      </c>
      <c r="K414" s="471">
        <v>279595.09999999998</v>
      </c>
      <c r="L414" s="471">
        <v>330774</v>
      </c>
      <c r="M414" s="471">
        <v>266036.40000000002</v>
      </c>
      <c r="N414" s="471">
        <f>182963500/1000</f>
        <v>182963.5</v>
      </c>
      <c r="O414" s="471">
        <f>213693600/1000</f>
        <v>213693.6</v>
      </c>
      <c r="Q414" s="472"/>
    </row>
    <row r="415" spans="1:17" s="264" customFormat="1" ht="30" customHeight="1" x14ac:dyDescent="0.25">
      <c r="A415" s="459"/>
      <c r="B415" s="460"/>
      <c r="C415" s="466" t="s">
        <v>762</v>
      </c>
      <c r="D415" s="467" t="s">
        <v>105</v>
      </c>
      <c r="E415" s="473" t="s">
        <v>763</v>
      </c>
      <c r="F415" s="469" t="s">
        <v>114</v>
      </c>
      <c r="G415" s="470" t="s">
        <v>20</v>
      </c>
      <c r="H415" s="469" t="s">
        <v>760</v>
      </c>
      <c r="I415" s="469" t="s">
        <v>764</v>
      </c>
      <c r="J415" s="471">
        <v>8034.5</v>
      </c>
      <c r="K415" s="471">
        <v>8034.5</v>
      </c>
      <c r="L415" s="471">
        <v>0</v>
      </c>
      <c r="M415" s="471">
        <v>0</v>
      </c>
      <c r="N415" s="471">
        <v>0</v>
      </c>
      <c r="O415" s="471">
        <v>0</v>
      </c>
      <c r="P415" s="472"/>
    </row>
    <row r="416" spans="1:17" s="264" customFormat="1" ht="30" customHeight="1" x14ac:dyDescent="0.25">
      <c r="A416" s="459"/>
      <c r="B416" s="460"/>
      <c r="C416" s="466" t="s">
        <v>765</v>
      </c>
      <c r="D416" s="467" t="s">
        <v>105</v>
      </c>
      <c r="E416" s="473" t="s">
        <v>766</v>
      </c>
      <c r="F416" s="469" t="s">
        <v>114</v>
      </c>
      <c r="G416" s="470" t="s">
        <v>20</v>
      </c>
      <c r="H416" s="469" t="s">
        <v>767</v>
      </c>
      <c r="I416" s="469" t="s">
        <v>768</v>
      </c>
      <c r="J416" s="471">
        <v>25.4</v>
      </c>
      <c r="K416" s="471">
        <v>25.4</v>
      </c>
      <c r="L416" s="471">
        <v>55</v>
      </c>
      <c r="M416" s="471">
        <v>0</v>
      </c>
      <c r="N416" s="471">
        <v>0</v>
      </c>
      <c r="O416" s="471">
        <v>0</v>
      </c>
      <c r="P416" s="472"/>
    </row>
    <row r="417" spans="1:15" s="264" customFormat="1" ht="35.4" customHeight="1" x14ac:dyDescent="0.25">
      <c r="A417" s="459"/>
      <c r="B417" s="460"/>
      <c r="C417" s="466" t="s">
        <v>769</v>
      </c>
      <c r="D417" s="467" t="s">
        <v>105</v>
      </c>
      <c r="E417" s="473" t="s">
        <v>770</v>
      </c>
      <c r="F417" s="469" t="s">
        <v>114</v>
      </c>
      <c r="G417" s="470" t="s">
        <v>20</v>
      </c>
      <c r="H417" s="469" t="s">
        <v>771</v>
      </c>
      <c r="I417" s="469" t="s">
        <v>768</v>
      </c>
      <c r="J417" s="471">
        <v>25350</v>
      </c>
      <c r="K417" s="471">
        <v>25350</v>
      </c>
      <c r="L417" s="471">
        <v>21150</v>
      </c>
      <c r="M417" s="471">
        <v>0</v>
      </c>
      <c r="N417" s="471">
        <v>0</v>
      </c>
      <c r="O417" s="471">
        <v>0</v>
      </c>
    </row>
    <row r="418" spans="1:15" s="264" customFormat="1" ht="63" customHeight="1" x14ac:dyDescent="0.25">
      <c r="A418" s="459"/>
      <c r="B418" s="460"/>
      <c r="C418" s="474" t="s">
        <v>772</v>
      </c>
      <c r="D418" s="467" t="s">
        <v>105</v>
      </c>
      <c r="E418" s="475" t="s">
        <v>773</v>
      </c>
      <c r="F418" s="469" t="s">
        <v>114</v>
      </c>
      <c r="G418" s="470" t="s">
        <v>20</v>
      </c>
      <c r="H418" s="469" t="s">
        <v>774</v>
      </c>
      <c r="I418" s="469" t="s">
        <v>768</v>
      </c>
      <c r="J418" s="476">
        <v>0</v>
      </c>
      <c r="K418" s="476">
        <v>0</v>
      </c>
      <c r="L418" s="476">
        <v>6283.3</v>
      </c>
      <c r="M418" s="471">
        <v>0</v>
      </c>
      <c r="N418" s="471">
        <v>0</v>
      </c>
      <c r="O418" s="471">
        <v>0</v>
      </c>
    </row>
    <row r="419" spans="1:15" s="264" customFormat="1" ht="40.5" customHeight="1" x14ac:dyDescent="0.3">
      <c r="A419" s="459"/>
      <c r="B419" s="460"/>
      <c r="C419" s="477"/>
      <c r="D419" s="478"/>
      <c r="E419" s="479"/>
      <c r="F419" s="480" t="s">
        <v>114</v>
      </c>
      <c r="G419" s="463" t="s">
        <v>64</v>
      </c>
      <c r="H419" s="481"/>
      <c r="I419" s="481"/>
      <c r="J419" s="482">
        <f t="shared" ref="J419:O419" si="96">SUM(J420:J437)</f>
        <v>276282.40000000002</v>
      </c>
      <c r="K419" s="482">
        <f t="shared" si="96"/>
        <v>274877.90000000002</v>
      </c>
      <c r="L419" s="482">
        <f t="shared" si="96"/>
        <v>441628.79999999993</v>
      </c>
      <c r="M419" s="482">
        <f t="shared" si="96"/>
        <v>318910.80000000005</v>
      </c>
      <c r="N419" s="482">
        <f t="shared" si="96"/>
        <v>235598.80000000002</v>
      </c>
      <c r="O419" s="482">
        <f t="shared" si="96"/>
        <v>229150.7</v>
      </c>
    </row>
    <row r="420" spans="1:15" s="264" customFormat="1" ht="41.4" customHeight="1" x14ac:dyDescent="0.25">
      <c r="A420" s="459"/>
      <c r="B420" s="460"/>
      <c r="C420" s="483" t="s">
        <v>775</v>
      </c>
      <c r="D420" s="484" t="s">
        <v>105</v>
      </c>
      <c r="E420" s="468" t="s">
        <v>776</v>
      </c>
      <c r="F420" s="469" t="s">
        <v>114</v>
      </c>
      <c r="G420" s="470" t="s">
        <v>64</v>
      </c>
      <c r="H420" s="469" t="s">
        <v>777</v>
      </c>
      <c r="I420" s="469" t="s">
        <v>761</v>
      </c>
      <c r="J420" s="471">
        <v>158565.5</v>
      </c>
      <c r="K420" s="471">
        <v>158565.5</v>
      </c>
      <c r="L420" s="471">
        <v>167794.4</v>
      </c>
      <c r="M420" s="471">
        <v>146374.70000000001</v>
      </c>
      <c r="N420" s="471">
        <v>114913.8</v>
      </c>
      <c r="O420" s="471">
        <v>115362.2</v>
      </c>
    </row>
    <row r="421" spans="1:15" s="264" customFormat="1" ht="42" customHeight="1" x14ac:dyDescent="0.25">
      <c r="A421" s="459"/>
      <c r="B421" s="460"/>
      <c r="C421" s="483" t="s">
        <v>778</v>
      </c>
      <c r="D421" s="484" t="s">
        <v>105</v>
      </c>
      <c r="E421" s="473" t="s">
        <v>763</v>
      </c>
      <c r="F421" s="469" t="s">
        <v>114</v>
      </c>
      <c r="G421" s="470" t="s">
        <v>64</v>
      </c>
      <c r="H421" s="469" t="s">
        <v>777</v>
      </c>
      <c r="I421" s="469" t="s">
        <v>764</v>
      </c>
      <c r="J421" s="471">
        <v>3159.9</v>
      </c>
      <c r="K421" s="471">
        <v>3159.9</v>
      </c>
      <c r="L421" s="471">
        <v>0</v>
      </c>
      <c r="M421" s="471">
        <v>0</v>
      </c>
      <c r="N421" s="471">
        <v>0</v>
      </c>
      <c r="O421" s="471">
        <v>0</v>
      </c>
    </row>
    <row r="422" spans="1:15" s="264" customFormat="1" ht="65.25" customHeight="1" x14ac:dyDescent="0.25">
      <c r="A422" s="459"/>
      <c r="B422" s="460"/>
      <c r="C422" s="485" t="s">
        <v>779</v>
      </c>
      <c r="D422" s="484" t="s">
        <v>105</v>
      </c>
      <c r="E422" s="486" t="s">
        <v>780</v>
      </c>
      <c r="F422" s="469" t="s">
        <v>114</v>
      </c>
      <c r="G422" s="470" t="s">
        <v>64</v>
      </c>
      <c r="H422" s="469" t="s">
        <v>781</v>
      </c>
      <c r="I422" s="469" t="s">
        <v>768</v>
      </c>
      <c r="J422" s="471">
        <v>0</v>
      </c>
      <c r="K422" s="471">
        <v>0</v>
      </c>
      <c r="L422" s="471">
        <v>12962.3</v>
      </c>
      <c r="M422" s="471">
        <v>0</v>
      </c>
      <c r="N422" s="471">
        <v>0</v>
      </c>
      <c r="O422" s="471">
        <v>0</v>
      </c>
    </row>
    <row r="423" spans="1:15" s="264" customFormat="1" ht="69.599999999999994" customHeight="1" x14ac:dyDescent="0.25">
      <c r="A423" s="459"/>
      <c r="B423" s="460"/>
      <c r="C423" s="487" t="s">
        <v>782</v>
      </c>
      <c r="D423" s="484" t="s">
        <v>105</v>
      </c>
      <c r="E423" s="486" t="s">
        <v>783</v>
      </c>
      <c r="F423" s="469" t="s">
        <v>114</v>
      </c>
      <c r="G423" s="470" t="s">
        <v>64</v>
      </c>
      <c r="H423" s="469" t="s">
        <v>784</v>
      </c>
      <c r="I423" s="469" t="s">
        <v>768</v>
      </c>
      <c r="J423" s="471">
        <f>284.1+1744.7</f>
        <v>2028.8000000000002</v>
      </c>
      <c r="K423" s="471">
        <f>284.1+1744.7</f>
        <v>2028.8000000000002</v>
      </c>
      <c r="L423" s="471">
        <f>278.5+1710.3</f>
        <v>1988.8</v>
      </c>
      <c r="M423" s="471">
        <v>8584.7999999999993</v>
      </c>
      <c r="N423" s="471">
        <v>0</v>
      </c>
      <c r="O423" s="471">
        <v>0</v>
      </c>
    </row>
    <row r="424" spans="1:15" s="264" customFormat="1" ht="38.25" customHeight="1" x14ac:dyDescent="0.25">
      <c r="A424" s="459"/>
      <c r="B424" s="460"/>
      <c r="C424" s="488" t="s">
        <v>785</v>
      </c>
      <c r="D424" s="489" t="s">
        <v>105</v>
      </c>
      <c r="E424" s="490" t="s">
        <v>786</v>
      </c>
      <c r="F424" s="469" t="s">
        <v>114</v>
      </c>
      <c r="G424" s="470" t="s">
        <v>64</v>
      </c>
      <c r="H424" s="469" t="s">
        <v>787</v>
      </c>
      <c r="I424" s="469" t="s">
        <v>768</v>
      </c>
      <c r="J424" s="471">
        <v>15117</v>
      </c>
      <c r="K424" s="471">
        <v>13712.5</v>
      </c>
      <c r="L424" s="471">
        <v>16801.400000000001</v>
      </c>
      <c r="M424" s="471">
        <v>16113.8</v>
      </c>
      <c r="N424" s="471">
        <v>15052.2</v>
      </c>
      <c r="O424" s="471">
        <v>11851.2</v>
      </c>
    </row>
    <row r="425" spans="1:15" s="264" customFormat="1" ht="38.25" customHeight="1" x14ac:dyDescent="0.25">
      <c r="A425" s="459"/>
      <c r="B425" s="460"/>
      <c r="C425" s="491"/>
      <c r="D425" s="492"/>
      <c r="E425" s="493"/>
      <c r="F425" s="469" t="s">
        <v>114</v>
      </c>
      <c r="G425" s="470" t="s">
        <v>64</v>
      </c>
      <c r="H425" s="469" t="s">
        <v>787</v>
      </c>
      <c r="I425" s="469" t="s">
        <v>788</v>
      </c>
      <c r="J425" s="471">
        <v>321.8</v>
      </c>
      <c r="K425" s="471">
        <v>321.8</v>
      </c>
      <c r="L425" s="471">
        <v>0</v>
      </c>
      <c r="M425" s="471">
        <v>0</v>
      </c>
      <c r="N425" s="471">
        <v>0</v>
      </c>
      <c r="O425" s="471">
        <v>0</v>
      </c>
    </row>
    <row r="426" spans="1:15" s="264" customFormat="1" ht="38.25" customHeight="1" x14ac:dyDescent="0.25">
      <c r="A426" s="459"/>
      <c r="B426" s="460"/>
      <c r="C426" s="494"/>
      <c r="D426" s="495"/>
      <c r="E426" s="496"/>
      <c r="F426" s="469" t="s">
        <v>220</v>
      </c>
      <c r="G426" s="470" t="s">
        <v>73</v>
      </c>
      <c r="H426" s="469" t="s">
        <v>787</v>
      </c>
      <c r="I426" s="469" t="s">
        <v>374</v>
      </c>
      <c r="J426" s="471">
        <v>3353.6</v>
      </c>
      <c r="K426" s="471">
        <v>3353.6</v>
      </c>
      <c r="L426" s="471">
        <v>4672.5</v>
      </c>
      <c r="M426" s="471">
        <v>3201</v>
      </c>
      <c r="N426" s="471">
        <v>3294.7</v>
      </c>
      <c r="O426" s="471">
        <v>2035.6</v>
      </c>
    </row>
    <row r="427" spans="1:15" s="264" customFormat="1" ht="48" customHeight="1" x14ac:dyDescent="0.25">
      <c r="A427" s="459"/>
      <c r="B427" s="460"/>
      <c r="C427" s="488" t="s">
        <v>769</v>
      </c>
      <c r="D427" s="484" t="s">
        <v>105</v>
      </c>
      <c r="E427" s="486" t="s">
        <v>789</v>
      </c>
      <c r="F427" s="469" t="s">
        <v>114</v>
      </c>
      <c r="G427" s="470" t="s">
        <v>64</v>
      </c>
      <c r="H427" s="469" t="s">
        <v>790</v>
      </c>
      <c r="I427" s="469" t="s">
        <v>768</v>
      </c>
      <c r="J427" s="471">
        <v>194.7</v>
      </c>
      <c r="K427" s="471">
        <v>194.7</v>
      </c>
      <c r="L427" s="471">
        <v>368.9</v>
      </c>
      <c r="M427" s="471">
        <v>538.4</v>
      </c>
      <c r="N427" s="471">
        <v>0</v>
      </c>
      <c r="O427" s="471">
        <v>0</v>
      </c>
    </row>
    <row r="428" spans="1:15" s="264" customFormat="1" ht="51.75" customHeight="1" x14ac:dyDescent="0.25">
      <c r="A428" s="459"/>
      <c r="B428" s="460"/>
      <c r="C428" s="491"/>
      <c r="D428" s="497" t="s">
        <v>105</v>
      </c>
      <c r="E428" s="498"/>
      <c r="F428" s="469" t="s">
        <v>114</v>
      </c>
      <c r="G428" s="470" t="s">
        <v>64</v>
      </c>
      <c r="H428" s="469" t="s">
        <v>790</v>
      </c>
      <c r="I428" s="469" t="s">
        <v>788</v>
      </c>
      <c r="J428" s="471">
        <v>3</v>
      </c>
      <c r="K428" s="471">
        <v>3</v>
      </c>
      <c r="L428" s="471">
        <v>0</v>
      </c>
      <c r="M428" s="471">
        <v>0</v>
      </c>
      <c r="N428" s="471">
        <v>0</v>
      </c>
      <c r="O428" s="471">
        <v>0</v>
      </c>
    </row>
    <row r="429" spans="1:15" s="264" customFormat="1" ht="67.5" customHeight="1" x14ac:dyDescent="0.25">
      <c r="A429" s="459"/>
      <c r="B429" s="460"/>
      <c r="C429" s="487" t="s">
        <v>791</v>
      </c>
      <c r="D429" s="484" t="s">
        <v>105</v>
      </c>
      <c r="E429" s="486" t="s">
        <v>792</v>
      </c>
      <c r="F429" s="469" t="s">
        <v>114</v>
      </c>
      <c r="G429" s="470" t="s">
        <v>64</v>
      </c>
      <c r="H429" s="469" t="s">
        <v>793</v>
      </c>
      <c r="I429" s="469" t="s">
        <v>768</v>
      </c>
      <c r="J429" s="471">
        <f>144.8+1463.7</f>
        <v>1608.5</v>
      </c>
      <c r="K429" s="471">
        <f>144.8+1463.7</f>
        <v>1608.5</v>
      </c>
      <c r="L429" s="471">
        <v>0</v>
      </c>
      <c r="M429" s="471">
        <v>0</v>
      </c>
      <c r="N429" s="471">
        <v>0</v>
      </c>
      <c r="O429" s="471">
        <v>0</v>
      </c>
    </row>
    <row r="430" spans="1:15" s="264" customFormat="1" ht="67.5" customHeight="1" x14ac:dyDescent="0.25">
      <c r="A430" s="459"/>
      <c r="B430" s="460"/>
      <c r="C430" s="487" t="s">
        <v>794</v>
      </c>
      <c r="D430" s="497" t="s">
        <v>105</v>
      </c>
      <c r="E430" s="486" t="s">
        <v>795</v>
      </c>
      <c r="F430" s="469" t="s">
        <v>114</v>
      </c>
      <c r="G430" s="470" t="s">
        <v>64</v>
      </c>
      <c r="H430" s="469" t="s">
        <v>796</v>
      </c>
      <c r="I430" s="469" t="s">
        <v>768</v>
      </c>
      <c r="J430" s="471">
        <f>119.8+1210.3</f>
        <v>1330.1</v>
      </c>
      <c r="K430" s="471">
        <f>119.8+1210.3</f>
        <v>1330.1</v>
      </c>
      <c r="L430" s="471">
        <v>0</v>
      </c>
      <c r="M430" s="471">
        <v>0</v>
      </c>
      <c r="N430" s="471">
        <v>0</v>
      </c>
      <c r="O430" s="471">
        <v>0</v>
      </c>
    </row>
    <row r="431" spans="1:15" s="264" customFormat="1" ht="48" customHeight="1" x14ac:dyDescent="0.25">
      <c r="A431" s="459"/>
      <c r="B431" s="460"/>
      <c r="C431" s="474" t="s">
        <v>772</v>
      </c>
      <c r="D431" s="484" t="s">
        <v>105</v>
      </c>
      <c r="E431" s="486" t="s">
        <v>780</v>
      </c>
      <c r="F431" s="469" t="s">
        <v>114</v>
      </c>
      <c r="G431" s="470" t="s">
        <v>64</v>
      </c>
      <c r="H431" s="469" t="s">
        <v>797</v>
      </c>
      <c r="I431" s="469" t="s">
        <v>768</v>
      </c>
      <c r="J431" s="471">
        <v>0</v>
      </c>
      <c r="K431" s="471">
        <v>0</v>
      </c>
      <c r="L431" s="471">
        <v>76000</v>
      </c>
      <c r="M431" s="471">
        <v>26634.2</v>
      </c>
      <c r="N431" s="471">
        <v>0</v>
      </c>
      <c r="O431" s="471">
        <v>0</v>
      </c>
    </row>
    <row r="432" spans="1:15" s="264" customFormat="1" ht="38.25" customHeight="1" x14ac:dyDescent="0.25">
      <c r="A432" s="459"/>
      <c r="B432" s="460"/>
      <c r="C432" s="499" t="s">
        <v>798</v>
      </c>
      <c r="D432" s="489" t="s">
        <v>105</v>
      </c>
      <c r="E432" s="490" t="s">
        <v>789</v>
      </c>
      <c r="F432" s="469" t="s">
        <v>114</v>
      </c>
      <c r="G432" s="470" t="s">
        <v>64</v>
      </c>
      <c r="H432" s="469" t="s">
        <v>799</v>
      </c>
      <c r="I432" s="469" t="s">
        <v>768</v>
      </c>
      <c r="J432" s="471">
        <v>87649.8</v>
      </c>
      <c r="K432" s="471">
        <v>87649.8</v>
      </c>
      <c r="L432" s="471">
        <v>98292.9</v>
      </c>
      <c r="M432" s="471">
        <v>104410</v>
      </c>
      <c r="N432" s="471">
        <v>102338.1</v>
      </c>
      <c r="O432" s="471">
        <v>99901.7</v>
      </c>
    </row>
    <row r="433" spans="1:15" s="264" customFormat="1" ht="51.75" customHeight="1" x14ac:dyDescent="0.25">
      <c r="A433" s="459"/>
      <c r="B433" s="460"/>
      <c r="C433" s="500"/>
      <c r="D433" s="495"/>
      <c r="E433" s="496"/>
      <c r="F433" s="469" t="s">
        <v>114</v>
      </c>
      <c r="G433" s="470" t="s">
        <v>64</v>
      </c>
      <c r="H433" s="469" t="s">
        <v>799</v>
      </c>
      <c r="I433" s="469" t="s">
        <v>788</v>
      </c>
      <c r="J433" s="471">
        <v>1648.7</v>
      </c>
      <c r="K433" s="471">
        <v>1648.7</v>
      </c>
      <c r="L433" s="471">
        <v>0</v>
      </c>
      <c r="M433" s="471">
        <v>0</v>
      </c>
      <c r="N433" s="471">
        <v>0</v>
      </c>
      <c r="O433" s="471">
        <v>0</v>
      </c>
    </row>
    <row r="434" spans="1:15" s="264" customFormat="1" ht="54.75" customHeight="1" x14ac:dyDescent="0.25">
      <c r="A434" s="459"/>
      <c r="B434" s="460"/>
      <c r="C434" s="488" t="s">
        <v>769</v>
      </c>
      <c r="D434" s="489" t="s">
        <v>105</v>
      </c>
      <c r="E434" s="490" t="s">
        <v>770</v>
      </c>
      <c r="F434" s="469" t="s">
        <v>114</v>
      </c>
      <c r="G434" s="470" t="s">
        <v>64</v>
      </c>
      <c r="H434" s="469" t="s">
        <v>767</v>
      </c>
      <c r="I434" s="469" t="s">
        <v>768</v>
      </c>
      <c r="J434" s="471">
        <v>1</v>
      </c>
      <c r="K434" s="471">
        <v>1</v>
      </c>
      <c r="L434" s="471">
        <v>0</v>
      </c>
      <c r="M434" s="471">
        <v>0</v>
      </c>
      <c r="N434" s="471">
        <v>0</v>
      </c>
      <c r="O434" s="471">
        <v>0</v>
      </c>
    </row>
    <row r="435" spans="1:15" s="264" customFormat="1" ht="54.75" customHeight="1" x14ac:dyDescent="0.25">
      <c r="A435" s="459"/>
      <c r="B435" s="460"/>
      <c r="C435" s="494"/>
      <c r="D435" s="492"/>
      <c r="E435" s="496"/>
      <c r="F435" s="469" t="s">
        <v>114</v>
      </c>
      <c r="G435" s="470" t="s">
        <v>64</v>
      </c>
      <c r="H435" s="469" t="s">
        <v>771</v>
      </c>
      <c r="I435" s="469" t="s">
        <v>768</v>
      </c>
      <c r="J435" s="471">
        <v>1050</v>
      </c>
      <c r="K435" s="471">
        <v>1050</v>
      </c>
      <c r="L435" s="471">
        <v>6550</v>
      </c>
      <c r="M435" s="471">
        <v>0</v>
      </c>
      <c r="N435" s="471">
        <v>0</v>
      </c>
      <c r="O435" s="471">
        <v>0</v>
      </c>
    </row>
    <row r="436" spans="1:15" s="264" customFormat="1" ht="53.25" customHeight="1" x14ac:dyDescent="0.25">
      <c r="A436" s="459"/>
      <c r="B436" s="460"/>
      <c r="C436" s="474" t="s">
        <v>800</v>
      </c>
      <c r="D436" s="501"/>
      <c r="E436" s="486" t="s">
        <v>801</v>
      </c>
      <c r="F436" s="469" t="s">
        <v>114</v>
      </c>
      <c r="G436" s="470" t="s">
        <v>64</v>
      </c>
      <c r="H436" s="469" t="s">
        <v>802</v>
      </c>
      <c r="I436" s="469" t="s">
        <v>768</v>
      </c>
      <c r="J436" s="471">
        <v>0</v>
      </c>
      <c r="K436" s="471">
        <v>0</v>
      </c>
      <c r="L436" s="471">
        <v>0</v>
      </c>
      <c r="M436" s="471">
        <v>13053.9</v>
      </c>
      <c r="N436" s="471">
        <v>0</v>
      </c>
      <c r="O436" s="471">
        <v>0</v>
      </c>
    </row>
    <row r="437" spans="1:15" s="264" customFormat="1" ht="53.25" customHeight="1" x14ac:dyDescent="0.25">
      <c r="A437" s="459"/>
      <c r="B437" s="460"/>
      <c r="C437" s="502" t="s">
        <v>803</v>
      </c>
      <c r="D437" s="503" t="s">
        <v>105</v>
      </c>
      <c r="E437" s="473" t="s">
        <v>804</v>
      </c>
      <c r="F437" s="469" t="s">
        <v>114</v>
      </c>
      <c r="G437" s="470" t="s">
        <v>64</v>
      </c>
      <c r="H437" s="469" t="s">
        <v>740</v>
      </c>
      <c r="I437" s="469" t="s">
        <v>805</v>
      </c>
      <c r="J437" s="471">
        <f>12.5+237.5</f>
        <v>250</v>
      </c>
      <c r="K437" s="471">
        <f>12.5+237.5</f>
        <v>250</v>
      </c>
      <c r="L437" s="471">
        <f>2809.9+53387.7</f>
        <v>56197.599999999999</v>
      </c>
      <c r="M437" s="471">
        <v>0</v>
      </c>
      <c r="N437" s="471">
        <v>0</v>
      </c>
      <c r="O437" s="471">
        <v>0</v>
      </c>
    </row>
    <row r="438" spans="1:15" s="264" customFormat="1" ht="24.75" customHeight="1" x14ac:dyDescent="0.3">
      <c r="A438" s="459"/>
      <c r="B438" s="460"/>
      <c r="C438" s="504"/>
      <c r="D438" s="501"/>
      <c r="E438" s="505"/>
      <c r="F438" s="506" t="s">
        <v>114</v>
      </c>
      <c r="G438" s="507" t="s">
        <v>21</v>
      </c>
      <c r="H438" s="469"/>
      <c r="I438" s="469"/>
      <c r="J438" s="453">
        <f>SUM(J439:J454)</f>
        <v>84417.599999999977</v>
      </c>
      <c r="K438" s="453">
        <f>SUM(K439:K454)</f>
        <v>84416.699999999983</v>
      </c>
      <c r="L438" s="453">
        <f t="shared" ref="L438:O438" si="97">SUM(L439:L454)</f>
        <v>91650.799999999988</v>
      </c>
      <c r="M438" s="453">
        <f t="shared" si="97"/>
        <v>92144.9</v>
      </c>
      <c r="N438" s="453">
        <f t="shared" si="97"/>
        <v>94207.2</v>
      </c>
      <c r="O438" s="453">
        <f t="shared" si="97"/>
        <v>94768.9</v>
      </c>
    </row>
    <row r="439" spans="1:15" s="264" customFormat="1" ht="58.5" customHeight="1" x14ac:dyDescent="0.25">
      <c r="A439" s="459"/>
      <c r="B439" s="460"/>
      <c r="C439" s="466" t="s">
        <v>806</v>
      </c>
      <c r="D439" s="484"/>
      <c r="E439" s="484" t="s">
        <v>807</v>
      </c>
      <c r="F439" s="469" t="s">
        <v>114</v>
      </c>
      <c r="G439" s="470" t="s">
        <v>21</v>
      </c>
      <c r="H439" s="470" t="s">
        <v>808</v>
      </c>
      <c r="I439" s="469" t="s">
        <v>761</v>
      </c>
      <c r="J439" s="471">
        <v>57435.7</v>
      </c>
      <c r="K439" s="471">
        <v>57435.7</v>
      </c>
      <c r="L439" s="471">
        <v>7352.2</v>
      </c>
      <c r="M439" s="471">
        <v>0</v>
      </c>
      <c r="N439" s="471">
        <v>0</v>
      </c>
      <c r="O439" s="471">
        <v>0</v>
      </c>
    </row>
    <row r="440" spans="1:15" s="264" customFormat="1" ht="58.5" customHeight="1" x14ac:dyDescent="0.25">
      <c r="A440" s="459"/>
      <c r="B440" s="460"/>
      <c r="C440" s="466" t="s">
        <v>806</v>
      </c>
      <c r="D440" s="484"/>
      <c r="E440" s="484"/>
      <c r="F440" s="469" t="s">
        <v>114</v>
      </c>
      <c r="G440" s="470" t="s">
        <v>21</v>
      </c>
      <c r="H440" s="470" t="s">
        <v>808</v>
      </c>
      <c r="I440" s="469" t="s">
        <v>809</v>
      </c>
      <c r="J440" s="471">
        <v>0</v>
      </c>
      <c r="K440" s="471">
        <v>0</v>
      </c>
      <c r="L440" s="471">
        <v>54104.2</v>
      </c>
      <c r="M440" s="471">
        <v>53781.8</v>
      </c>
      <c r="N440" s="471">
        <v>65729.399999999994</v>
      </c>
      <c r="O440" s="471">
        <v>66150.7</v>
      </c>
    </row>
    <row r="441" spans="1:15" s="264" customFormat="1" ht="59.25" customHeight="1" x14ac:dyDescent="0.25">
      <c r="A441" s="459"/>
      <c r="B441" s="460"/>
      <c r="C441" s="466" t="s">
        <v>810</v>
      </c>
      <c r="D441" s="484"/>
      <c r="E441" s="484" t="s">
        <v>807</v>
      </c>
      <c r="F441" s="469" t="s">
        <v>114</v>
      </c>
      <c r="G441" s="470" t="s">
        <v>21</v>
      </c>
      <c r="H441" s="470" t="s">
        <v>808</v>
      </c>
      <c r="I441" s="469" t="s">
        <v>764</v>
      </c>
      <c r="J441" s="471">
        <v>23837.1</v>
      </c>
      <c r="K441" s="471">
        <v>23837.1</v>
      </c>
      <c r="L441" s="471">
        <v>2955.1</v>
      </c>
      <c r="M441" s="471">
        <v>0</v>
      </c>
      <c r="N441" s="471">
        <v>0</v>
      </c>
      <c r="O441" s="471">
        <v>0</v>
      </c>
    </row>
    <row r="442" spans="1:15" s="264" customFormat="1" ht="59.25" customHeight="1" x14ac:dyDescent="0.25">
      <c r="A442" s="459"/>
      <c r="B442" s="460"/>
      <c r="C442" s="466" t="s">
        <v>810</v>
      </c>
      <c r="D442" s="484"/>
      <c r="E442" s="484"/>
      <c r="F442" s="469" t="s">
        <v>114</v>
      </c>
      <c r="G442" s="470" t="s">
        <v>21</v>
      </c>
      <c r="H442" s="470" t="s">
        <v>808</v>
      </c>
      <c r="I442" s="469" t="s">
        <v>811</v>
      </c>
      <c r="J442" s="471">
        <v>0</v>
      </c>
      <c r="K442" s="471">
        <v>0</v>
      </c>
      <c r="L442" s="471">
        <f>27382.1-L441</f>
        <v>24427</v>
      </c>
      <c r="M442" s="471">
        <v>26682.7</v>
      </c>
      <c r="N442" s="471">
        <v>28477.8</v>
      </c>
      <c r="O442" s="471">
        <v>28618.2</v>
      </c>
    </row>
    <row r="443" spans="1:15" s="264" customFormat="1" ht="64.5" customHeight="1" x14ac:dyDescent="0.25">
      <c r="A443" s="459"/>
      <c r="B443" s="460"/>
      <c r="C443" s="508" t="s">
        <v>769</v>
      </c>
      <c r="D443" s="484"/>
      <c r="E443" s="484"/>
      <c r="F443" s="469" t="s">
        <v>114</v>
      </c>
      <c r="G443" s="470" t="s">
        <v>21</v>
      </c>
      <c r="H443" s="470" t="s">
        <v>812</v>
      </c>
      <c r="I443" s="469" t="s">
        <v>761</v>
      </c>
      <c r="J443" s="471">
        <v>1487.4</v>
      </c>
      <c r="K443" s="471">
        <v>1486.5</v>
      </c>
      <c r="L443" s="471">
        <v>184.4</v>
      </c>
      <c r="M443" s="471">
        <v>0</v>
      </c>
      <c r="N443" s="471">
        <v>0</v>
      </c>
      <c r="O443" s="471">
        <v>0</v>
      </c>
    </row>
    <row r="444" spans="1:15" s="264" customFormat="1" ht="64.5" customHeight="1" x14ac:dyDescent="0.25">
      <c r="A444" s="459"/>
      <c r="B444" s="460"/>
      <c r="C444" s="508" t="s">
        <v>769</v>
      </c>
      <c r="D444" s="484"/>
      <c r="E444" s="484"/>
      <c r="F444" s="469" t="s">
        <v>114</v>
      </c>
      <c r="G444" s="470" t="s">
        <v>21</v>
      </c>
      <c r="H444" s="470" t="s">
        <v>812</v>
      </c>
      <c r="I444" s="469" t="s">
        <v>809</v>
      </c>
      <c r="J444" s="471">
        <v>0</v>
      </c>
      <c r="K444" s="471">
        <v>0</v>
      </c>
      <c r="L444" s="471">
        <v>1309.2</v>
      </c>
      <c r="M444" s="471">
        <v>8995.6</v>
      </c>
      <c r="N444" s="471">
        <v>0</v>
      </c>
      <c r="O444" s="471">
        <v>0</v>
      </c>
    </row>
    <row r="445" spans="1:15" s="264" customFormat="1" ht="64.5" customHeight="1" x14ac:dyDescent="0.25">
      <c r="A445" s="459"/>
      <c r="B445" s="460"/>
      <c r="C445" s="508" t="s">
        <v>769</v>
      </c>
      <c r="D445" s="484"/>
      <c r="E445" s="484"/>
      <c r="F445" s="469" t="s">
        <v>114</v>
      </c>
      <c r="G445" s="470" t="s">
        <v>21</v>
      </c>
      <c r="H445" s="470" t="s">
        <v>812</v>
      </c>
      <c r="I445" s="469" t="s">
        <v>813</v>
      </c>
      <c r="J445" s="471">
        <v>0</v>
      </c>
      <c r="K445" s="471">
        <v>0</v>
      </c>
      <c r="L445" s="471">
        <v>0</v>
      </c>
      <c r="M445" s="471">
        <v>234.2</v>
      </c>
      <c r="N445" s="471">
        <v>0</v>
      </c>
      <c r="O445" s="471">
        <v>0</v>
      </c>
    </row>
    <row r="446" spans="1:15" s="264" customFormat="1" ht="64.5" customHeight="1" x14ac:dyDescent="0.25">
      <c r="A446" s="459"/>
      <c r="B446" s="460"/>
      <c r="C446" s="508" t="s">
        <v>769</v>
      </c>
      <c r="D446" s="484"/>
      <c r="E446" s="484"/>
      <c r="F446" s="469" t="s">
        <v>114</v>
      </c>
      <c r="G446" s="470" t="s">
        <v>21</v>
      </c>
      <c r="H446" s="470" t="s">
        <v>812</v>
      </c>
      <c r="I446" s="469" t="s">
        <v>764</v>
      </c>
      <c r="J446" s="471">
        <v>155.9</v>
      </c>
      <c r="K446" s="471">
        <v>155.9</v>
      </c>
      <c r="L446" s="471">
        <v>52.2</v>
      </c>
      <c r="M446" s="471">
        <v>0</v>
      </c>
      <c r="N446" s="471">
        <v>0</v>
      </c>
      <c r="O446" s="471">
        <v>0</v>
      </c>
    </row>
    <row r="447" spans="1:15" s="264" customFormat="1" ht="64.5" customHeight="1" x14ac:dyDescent="0.25">
      <c r="A447" s="459"/>
      <c r="B447" s="460"/>
      <c r="C447" s="508" t="s">
        <v>769</v>
      </c>
      <c r="D447" s="484"/>
      <c r="E447" s="484"/>
      <c r="F447" s="469" t="s">
        <v>114</v>
      </c>
      <c r="G447" s="470" t="s">
        <v>21</v>
      </c>
      <c r="H447" s="470" t="s">
        <v>812</v>
      </c>
      <c r="I447" s="469" t="s">
        <v>811</v>
      </c>
      <c r="J447" s="471">
        <v>0</v>
      </c>
      <c r="K447" s="471">
        <v>0</v>
      </c>
      <c r="L447" s="471">
        <v>383.7</v>
      </c>
      <c r="M447" s="471">
        <v>1045.3</v>
      </c>
      <c r="N447" s="471">
        <v>0</v>
      </c>
      <c r="O447" s="471">
        <v>0</v>
      </c>
    </row>
    <row r="448" spans="1:15" s="264" customFormat="1" ht="64.5" customHeight="1" x14ac:dyDescent="0.25">
      <c r="A448" s="459"/>
      <c r="B448" s="460"/>
      <c r="C448" s="508" t="s">
        <v>769</v>
      </c>
      <c r="D448" s="484"/>
      <c r="E448" s="484"/>
      <c r="F448" s="469" t="s">
        <v>114</v>
      </c>
      <c r="G448" s="470" t="s">
        <v>21</v>
      </c>
      <c r="H448" s="470" t="s">
        <v>812</v>
      </c>
      <c r="I448" s="469" t="s">
        <v>814</v>
      </c>
      <c r="J448" s="471">
        <v>0</v>
      </c>
      <c r="K448" s="471">
        <v>0</v>
      </c>
      <c r="L448" s="471">
        <v>0</v>
      </c>
      <c r="M448" s="471">
        <v>234.2</v>
      </c>
      <c r="N448" s="471">
        <v>0</v>
      </c>
      <c r="O448" s="471">
        <v>0</v>
      </c>
    </row>
    <row r="449" spans="1:16" s="264" customFormat="1" ht="64.5" customHeight="1" x14ac:dyDescent="0.25">
      <c r="A449" s="459"/>
      <c r="B449" s="460"/>
      <c r="C449" s="508" t="s">
        <v>769</v>
      </c>
      <c r="D449" s="484"/>
      <c r="E449" s="484"/>
      <c r="F449" s="469" t="s">
        <v>114</v>
      </c>
      <c r="G449" s="470" t="s">
        <v>21</v>
      </c>
      <c r="H449" s="470" t="s">
        <v>812</v>
      </c>
      <c r="I449" s="469" t="s">
        <v>815</v>
      </c>
      <c r="J449" s="471">
        <v>0</v>
      </c>
      <c r="K449" s="471">
        <v>0</v>
      </c>
      <c r="L449" s="471">
        <v>0</v>
      </c>
      <c r="M449" s="471">
        <v>234.2</v>
      </c>
      <c r="N449" s="471">
        <v>0</v>
      </c>
      <c r="O449" s="471">
        <v>0</v>
      </c>
    </row>
    <row r="450" spans="1:16" s="264" customFormat="1" ht="64.5" customHeight="1" x14ac:dyDescent="0.25">
      <c r="A450" s="459"/>
      <c r="B450" s="460"/>
      <c r="C450" s="508" t="s">
        <v>769</v>
      </c>
      <c r="D450" s="484"/>
      <c r="E450" s="484"/>
      <c r="F450" s="469" t="s">
        <v>114</v>
      </c>
      <c r="G450" s="470" t="s">
        <v>21</v>
      </c>
      <c r="H450" s="470" t="s">
        <v>812</v>
      </c>
      <c r="I450" s="469" t="s">
        <v>816</v>
      </c>
      <c r="J450" s="471">
        <v>0</v>
      </c>
      <c r="K450" s="471">
        <v>0</v>
      </c>
      <c r="L450" s="471">
        <v>0</v>
      </c>
      <c r="M450" s="471">
        <v>936.9</v>
      </c>
      <c r="N450" s="471">
        <v>0</v>
      </c>
      <c r="O450" s="471">
        <v>0</v>
      </c>
    </row>
    <row r="451" spans="1:16" s="264" customFormat="1" ht="61.5" customHeight="1" x14ac:dyDescent="0.3">
      <c r="A451" s="459"/>
      <c r="B451" s="460"/>
      <c r="C451" s="466" t="s">
        <v>769</v>
      </c>
      <c r="D451" s="509"/>
      <c r="E451" s="486"/>
      <c r="F451" s="469" t="s">
        <v>114</v>
      </c>
      <c r="G451" s="470" t="s">
        <v>21</v>
      </c>
      <c r="H451" s="469" t="s">
        <v>767</v>
      </c>
      <c r="I451" s="469" t="s">
        <v>768</v>
      </c>
      <c r="J451" s="471">
        <v>1.5</v>
      </c>
      <c r="K451" s="471">
        <v>1.5</v>
      </c>
      <c r="L451" s="471">
        <v>0</v>
      </c>
      <c r="M451" s="471">
        <v>0</v>
      </c>
      <c r="N451" s="471">
        <v>0</v>
      </c>
      <c r="O451" s="471">
        <v>0</v>
      </c>
    </row>
    <row r="452" spans="1:16" s="264" customFormat="1" ht="32.4" customHeight="1" x14ac:dyDescent="0.3">
      <c r="A452" s="459"/>
      <c r="B452" s="460"/>
      <c r="C452" s="510"/>
      <c r="D452" s="511"/>
      <c r="E452" s="475"/>
      <c r="F452" s="469" t="s">
        <v>114</v>
      </c>
      <c r="G452" s="470" t="s">
        <v>21</v>
      </c>
      <c r="H452" s="469" t="s">
        <v>771</v>
      </c>
      <c r="I452" s="469" t="s">
        <v>768</v>
      </c>
      <c r="J452" s="471">
        <v>1500</v>
      </c>
      <c r="K452" s="471">
        <v>1500</v>
      </c>
      <c r="L452" s="471">
        <v>0</v>
      </c>
      <c r="M452" s="471">
        <v>0</v>
      </c>
      <c r="N452" s="471">
        <v>0</v>
      </c>
      <c r="O452" s="471">
        <v>0</v>
      </c>
    </row>
    <row r="453" spans="1:16" s="264" customFormat="1" ht="45.6" customHeight="1" x14ac:dyDescent="0.3">
      <c r="A453" s="459"/>
      <c r="B453" s="460"/>
      <c r="C453" s="499" t="s">
        <v>817</v>
      </c>
      <c r="D453" s="509"/>
      <c r="E453" s="486"/>
      <c r="F453" s="469" t="s">
        <v>114</v>
      </c>
      <c r="G453" s="470" t="s">
        <v>21</v>
      </c>
      <c r="H453" s="469" t="s">
        <v>818</v>
      </c>
      <c r="I453" s="469" t="s">
        <v>768</v>
      </c>
      <c r="J453" s="471">
        <v>0</v>
      </c>
      <c r="K453" s="471">
        <v>0</v>
      </c>
      <c r="L453" s="471">
        <v>543.6</v>
      </c>
      <c r="M453" s="471">
        <v>0</v>
      </c>
      <c r="N453" s="471">
        <v>0</v>
      </c>
      <c r="O453" s="471">
        <v>0</v>
      </c>
    </row>
    <row r="454" spans="1:16" s="264" customFormat="1" ht="43.8" customHeight="1" x14ac:dyDescent="0.3">
      <c r="A454" s="459"/>
      <c r="B454" s="460"/>
      <c r="C454" s="500"/>
      <c r="D454" s="511"/>
      <c r="E454" s="475"/>
      <c r="F454" s="469" t="s">
        <v>114</v>
      </c>
      <c r="G454" s="470" t="s">
        <v>21</v>
      </c>
      <c r="H454" s="469" t="s">
        <v>819</v>
      </c>
      <c r="I454" s="469" t="s">
        <v>788</v>
      </c>
      <c r="J454" s="471">
        <v>0</v>
      </c>
      <c r="K454" s="471">
        <v>0</v>
      </c>
      <c r="L454" s="471">
        <v>339.2</v>
      </c>
      <c r="M454" s="471">
        <v>0</v>
      </c>
      <c r="N454" s="471">
        <v>0</v>
      </c>
      <c r="O454" s="471">
        <v>0</v>
      </c>
    </row>
    <row r="455" spans="1:16" s="264" customFormat="1" ht="31.8" customHeight="1" x14ac:dyDescent="0.3">
      <c r="A455" s="459"/>
      <c r="B455" s="460"/>
      <c r="C455" s="512"/>
      <c r="D455" s="505"/>
      <c r="E455" s="513"/>
      <c r="F455" s="506" t="s">
        <v>114</v>
      </c>
      <c r="G455" s="507" t="s">
        <v>115</v>
      </c>
      <c r="H455" s="506"/>
      <c r="I455" s="469"/>
      <c r="J455" s="453">
        <f>J456+J476+J481+J484</f>
        <v>180610.4</v>
      </c>
      <c r="K455" s="453">
        <f t="shared" ref="K455:O455" si="98">K456+K476+K481+K484</f>
        <v>180141.6</v>
      </c>
      <c r="L455" s="453">
        <f t="shared" si="98"/>
        <v>241567.4</v>
      </c>
      <c r="M455" s="453">
        <f t="shared" si="98"/>
        <v>107349.50000000001</v>
      </c>
      <c r="N455" s="453">
        <f t="shared" si="98"/>
        <v>115801.3</v>
      </c>
      <c r="O455" s="453">
        <f t="shared" si="98"/>
        <v>135627.20000000001</v>
      </c>
      <c r="P455" s="514"/>
    </row>
    <row r="456" spans="1:16" s="264" customFormat="1" ht="63.75" customHeight="1" x14ac:dyDescent="0.3">
      <c r="A456" s="459"/>
      <c r="B456" s="460"/>
      <c r="C456" s="508" t="s">
        <v>769</v>
      </c>
      <c r="D456" s="505"/>
      <c r="E456" s="515"/>
      <c r="F456" s="506"/>
      <c r="G456" s="507"/>
      <c r="H456" s="506"/>
      <c r="I456" s="469"/>
      <c r="J456" s="453">
        <f>SUM(J457:J475)</f>
        <v>163547</v>
      </c>
      <c r="K456" s="453">
        <f t="shared" ref="K456:O456" si="99">SUM(K457:K475)</f>
        <v>163286</v>
      </c>
      <c r="L456" s="453">
        <f t="shared" si="99"/>
        <v>212624</v>
      </c>
      <c r="M456" s="453">
        <f t="shared" si="99"/>
        <v>104706.70000000001</v>
      </c>
      <c r="N456" s="453">
        <f t="shared" si="99"/>
        <v>113135.5</v>
      </c>
      <c r="O456" s="453">
        <f t="shared" si="99"/>
        <v>117184</v>
      </c>
      <c r="P456" s="514"/>
    </row>
    <row r="457" spans="1:16" s="264" customFormat="1" ht="38.25" customHeight="1" x14ac:dyDescent="0.25">
      <c r="A457" s="459"/>
      <c r="B457" s="460"/>
      <c r="C457" s="516" t="s">
        <v>820</v>
      </c>
      <c r="D457" s="517" t="s">
        <v>105</v>
      </c>
      <c r="E457" s="518" t="s">
        <v>821</v>
      </c>
      <c r="F457" s="469" t="s">
        <v>114</v>
      </c>
      <c r="G457" s="470" t="s">
        <v>115</v>
      </c>
      <c r="H457" s="469" t="s">
        <v>822</v>
      </c>
      <c r="I457" s="469" t="s">
        <v>278</v>
      </c>
      <c r="J457" s="471">
        <v>18846.3</v>
      </c>
      <c r="K457" s="471">
        <v>18846.3</v>
      </c>
      <c r="L457" s="471">
        <v>7374.8</v>
      </c>
      <c r="M457" s="471">
        <v>7698.1</v>
      </c>
      <c r="N457" s="471">
        <v>7698</v>
      </c>
      <c r="O457" s="471">
        <v>7698.1</v>
      </c>
    </row>
    <row r="458" spans="1:16" s="264" customFormat="1" ht="38.25" customHeight="1" x14ac:dyDescent="0.3">
      <c r="A458" s="459"/>
      <c r="B458" s="460"/>
      <c r="C458" s="519"/>
      <c r="D458" s="520"/>
      <c r="E458" s="521"/>
      <c r="F458" s="469" t="s">
        <v>114</v>
      </c>
      <c r="G458" s="470" t="s">
        <v>115</v>
      </c>
      <c r="H458" s="469" t="s">
        <v>822</v>
      </c>
      <c r="I458" s="469" t="s">
        <v>279</v>
      </c>
      <c r="J458" s="471">
        <v>7.1</v>
      </c>
      <c r="K458" s="471">
        <v>7.1</v>
      </c>
      <c r="L458" s="471">
        <v>10.4</v>
      </c>
      <c r="M458" s="471">
        <v>0</v>
      </c>
      <c r="N458" s="471">
        <v>0</v>
      </c>
      <c r="O458" s="471">
        <v>0</v>
      </c>
    </row>
    <row r="459" spans="1:16" s="264" customFormat="1" ht="38.25" customHeight="1" x14ac:dyDescent="0.3">
      <c r="A459" s="459"/>
      <c r="B459" s="460"/>
      <c r="C459" s="519"/>
      <c r="D459" s="520"/>
      <c r="E459" s="521"/>
      <c r="F459" s="469" t="s">
        <v>114</v>
      </c>
      <c r="G459" s="470" t="s">
        <v>115</v>
      </c>
      <c r="H459" s="469" t="s">
        <v>822</v>
      </c>
      <c r="I459" s="469" t="s">
        <v>282</v>
      </c>
      <c r="J459" s="471">
        <v>5177.1000000000004</v>
      </c>
      <c r="K459" s="471">
        <v>5177.1000000000004</v>
      </c>
      <c r="L459" s="471">
        <v>2042</v>
      </c>
      <c r="M459" s="471">
        <v>2324.8000000000002</v>
      </c>
      <c r="N459" s="471">
        <v>2324.8000000000002</v>
      </c>
      <c r="O459" s="471">
        <v>2324.8000000000002</v>
      </c>
    </row>
    <row r="460" spans="1:16" s="264" customFormat="1" ht="38.25" customHeight="1" x14ac:dyDescent="0.3">
      <c r="A460" s="459"/>
      <c r="B460" s="460"/>
      <c r="C460" s="519"/>
      <c r="D460" s="522" t="s">
        <v>105</v>
      </c>
      <c r="E460" s="521"/>
      <c r="F460" s="469" t="s">
        <v>114</v>
      </c>
      <c r="G460" s="470" t="s">
        <v>115</v>
      </c>
      <c r="H460" s="469" t="s">
        <v>822</v>
      </c>
      <c r="I460" s="469" t="s">
        <v>33</v>
      </c>
      <c r="J460" s="471">
        <v>16709.8</v>
      </c>
      <c r="K460" s="471">
        <v>16598.7</v>
      </c>
      <c r="L460" s="471">
        <v>2525.4</v>
      </c>
      <c r="M460" s="471">
        <v>1097.4000000000001</v>
      </c>
      <c r="N460" s="471">
        <v>1141.5</v>
      </c>
      <c r="O460" s="471">
        <v>1191.4000000000001</v>
      </c>
    </row>
    <row r="461" spans="1:16" s="264" customFormat="1" ht="38.25" customHeight="1" x14ac:dyDescent="0.3">
      <c r="A461" s="459"/>
      <c r="B461" s="460"/>
      <c r="C461" s="519"/>
      <c r="D461" s="520"/>
      <c r="E461" s="521"/>
      <c r="F461" s="469" t="s">
        <v>114</v>
      </c>
      <c r="G461" s="470" t="s">
        <v>115</v>
      </c>
      <c r="H461" s="469" t="s">
        <v>822</v>
      </c>
      <c r="I461" s="469" t="s">
        <v>93</v>
      </c>
      <c r="J461" s="471">
        <v>593.70000000000005</v>
      </c>
      <c r="K461" s="471">
        <v>443.8</v>
      </c>
      <c r="L461" s="471">
        <v>629.79999999999995</v>
      </c>
      <c r="M461" s="471">
        <v>313.10000000000002</v>
      </c>
      <c r="N461" s="471">
        <v>329.6</v>
      </c>
      <c r="O461" s="471">
        <v>342.8</v>
      </c>
    </row>
    <row r="462" spans="1:16" s="264" customFormat="1" ht="38.25" customHeight="1" x14ac:dyDescent="0.3">
      <c r="A462" s="459"/>
      <c r="B462" s="460"/>
      <c r="C462" s="519"/>
      <c r="D462" s="520"/>
      <c r="E462" s="521"/>
      <c r="F462" s="469" t="s">
        <v>114</v>
      </c>
      <c r="G462" s="470" t="s">
        <v>115</v>
      </c>
      <c r="H462" s="469" t="s">
        <v>822</v>
      </c>
      <c r="I462" s="469" t="s">
        <v>761</v>
      </c>
      <c r="J462" s="471">
        <v>24423.1</v>
      </c>
      <c r="K462" s="471">
        <v>24423.1</v>
      </c>
      <c r="L462" s="471">
        <v>61894.5</v>
      </c>
      <c r="M462" s="471">
        <v>61780.3</v>
      </c>
      <c r="N462" s="471">
        <v>62857.3</v>
      </c>
      <c r="O462" s="471">
        <f>63981600/1000</f>
        <v>63981.599999999999</v>
      </c>
    </row>
    <row r="463" spans="1:16" s="264" customFormat="1" ht="38.25" customHeight="1" x14ac:dyDescent="0.3">
      <c r="A463" s="459"/>
      <c r="B463" s="460"/>
      <c r="C463" s="519"/>
      <c r="D463" s="520"/>
      <c r="E463" s="521"/>
      <c r="F463" s="469" t="s">
        <v>114</v>
      </c>
      <c r="G463" s="470" t="s">
        <v>115</v>
      </c>
      <c r="H463" s="469" t="s">
        <v>822</v>
      </c>
      <c r="I463" s="469" t="s">
        <v>96</v>
      </c>
      <c r="J463" s="471">
        <v>405</v>
      </c>
      <c r="K463" s="471">
        <v>405</v>
      </c>
      <c r="L463" s="471">
        <v>194.7</v>
      </c>
      <c r="M463" s="471">
        <v>0</v>
      </c>
      <c r="N463" s="471">
        <v>0</v>
      </c>
      <c r="O463" s="471">
        <v>0</v>
      </c>
    </row>
    <row r="464" spans="1:16" s="264" customFormat="1" ht="36.75" customHeight="1" x14ac:dyDescent="0.3">
      <c r="A464" s="459"/>
      <c r="B464" s="460"/>
      <c r="C464" s="519"/>
      <c r="D464" s="505"/>
      <c r="E464" s="521"/>
      <c r="F464" s="469" t="s">
        <v>114</v>
      </c>
      <c r="G464" s="470" t="s">
        <v>115</v>
      </c>
      <c r="H464" s="469" t="s">
        <v>822</v>
      </c>
      <c r="I464" s="469" t="s">
        <v>35</v>
      </c>
      <c r="J464" s="471">
        <v>72.900000000000006</v>
      </c>
      <c r="K464" s="471">
        <v>72.900000000000006</v>
      </c>
      <c r="L464" s="471">
        <v>2.6</v>
      </c>
      <c r="M464" s="471">
        <v>2.8</v>
      </c>
      <c r="N464" s="471">
        <v>2.8</v>
      </c>
      <c r="O464" s="471">
        <v>2.8</v>
      </c>
    </row>
    <row r="465" spans="1:20" s="264" customFormat="1" ht="36.75" customHeight="1" x14ac:dyDescent="0.3">
      <c r="A465" s="459"/>
      <c r="B465" s="460"/>
      <c r="C465" s="519"/>
      <c r="D465" s="505"/>
      <c r="E465" s="521"/>
      <c r="F465" s="469" t="s">
        <v>114</v>
      </c>
      <c r="G465" s="470" t="s">
        <v>115</v>
      </c>
      <c r="H465" s="469" t="s">
        <v>822</v>
      </c>
      <c r="I465" s="469" t="s">
        <v>37</v>
      </c>
      <c r="J465" s="471">
        <f>7.3+93.5</f>
        <v>100.8</v>
      </c>
      <c r="K465" s="471">
        <f>7.3+93.5</f>
        <v>100.8</v>
      </c>
      <c r="L465" s="471">
        <v>0</v>
      </c>
      <c r="M465" s="471">
        <v>0</v>
      </c>
      <c r="N465" s="471">
        <v>0</v>
      </c>
      <c r="O465" s="471">
        <v>0</v>
      </c>
    </row>
    <row r="466" spans="1:20" s="264" customFormat="1" ht="36.75" customHeight="1" x14ac:dyDescent="0.3">
      <c r="A466" s="459"/>
      <c r="B466" s="460"/>
      <c r="C466" s="519"/>
      <c r="D466" s="505"/>
      <c r="E466" s="521"/>
      <c r="F466" s="469" t="s">
        <v>114</v>
      </c>
      <c r="G466" s="470" t="s">
        <v>115</v>
      </c>
      <c r="H466" s="469" t="s">
        <v>822</v>
      </c>
      <c r="I466" s="469" t="s">
        <v>41</v>
      </c>
      <c r="J466" s="471">
        <f>8.9+101+6.3+0.1</f>
        <v>116.3</v>
      </c>
      <c r="K466" s="471">
        <f>8.9+101+6.3+0.1</f>
        <v>116.3</v>
      </c>
      <c r="L466" s="471">
        <v>40.1</v>
      </c>
      <c r="M466" s="471">
        <v>0</v>
      </c>
      <c r="N466" s="471">
        <v>0</v>
      </c>
      <c r="O466" s="471">
        <v>0</v>
      </c>
    </row>
    <row r="467" spans="1:20" s="264" customFormat="1" ht="36.75" customHeight="1" x14ac:dyDescent="0.3">
      <c r="A467" s="459"/>
      <c r="B467" s="460"/>
      <c r="C467" s="523" t="s">
        <v>823</v>
      </c>
      <c r="D467" s="524"/>
      <c r="E467" s="486" t="s">
        <v>824</v>
      </c>
      <c r="F467" s="469" t="s">
        <v>114</v>
      </c>
      <c r="G467" s="470" t="s">
        <v>115</v>
      </c>
      <c r="H467" s="469" t="s">
        <v>790</v>
      </c>
      <c r="I467" s="469" t="s">
        <v>825</v>
      </c>
      <c r="J467" s="471">
        <v>4.5</v>
      </c>
      <c r="K467" s="471">
        <v>4.5</v>
      </c>
      <c r="L467" s="471">
        <v>0</v>
      </c>
      <c r="M467" s="471">
        <v>0</v>
      </c>
      <c r="N467" s="471">
        <v>0</v>
      </c>
      <c r="O467" s="471">
        <v>0</v>
      </c>
    </row>
    <row r="468" spans="1:20" s="264" customFormat="1" ht="36.75" customHeight="1" x14ac:dyDescent="0.3">
      <c r="A468" s="459"/>
      <c r="B468" s="460"/>
      <c r="C468" s="525"/>
      <c r="D468" s="526"/>
      <c r="E468" s="498"/>
      <c r="F468" s="469" t="s">
        <v>114</v>
      </c>
      <c r="G468" s="470" t="s">
        <v>115</v>
      </c>
      <c r="H468" s="469" t="s">
        <v>790</v>
      </c>
      <c r="I468" s="469" t="s">
        <v>33</v>
      </c>
      <c r="J468" s="471">
        <v>2052.5</v>
      </c>
      <c r="K468" s="471">
        <v>2052.5</v>
      </c>
      <c r="L468" s="471">
        <v>1395.9</v>
      </c>
      <c r="M468" s="471">
        <v>0</v>
      </c>
      <c r="N468" s="471">
        <v>0</v>
      </c>
      <c r="O468" s="471">
        <v>0</v>
      </c>
    </row>
    <row r="469" spans="1:20" s="264" customFormat="1" ht="36.75" customHeight="1" x14ac:dyDescent="0.3">
      <c r="A469" s="459"/>
      <c r="B469" s="460"/>
      <c r="C469" s="525"/>
      <c r="D469" s="526"/>
      <c r="E469" s="498"/>
      <c r="F469" s="469" t="s">
        <v>114</v>
      </c>
      <c r="G469" s="470" t="s">
        <v>115</v>
      </c>
      <c r="H469" s="469" t="s">
        <v>790</v>
      </c>
      <c r="I469" s="469" t="s">
        <v>805</v>
      </c>
      <c r="J469" s="471">
        <v>652</v>
      </c>
      <c r="K469" s="471">
        <v>652</v>
      </c>
      <c r="L469" s="471">
        <v>969.6</v>
      </c>
      <c r="M469" s="471">
        <v>0</v>
      </c>
      <c r="N469" s="471">
        <v>0</v>
      </c>
      <c r="O469" s="471">
        <v>0</v>
      </c>
    </row>
    <row r="470" spans="1:20" s="264" customFormat="1" ht="36.75" customHeight="1" x14ac:dyDescent="0.3">
      <c r="A470" s="459"/>
      <c r="B470" s="460"/>
      <c r="C470" s="527" t="s">
        <v>769</v>
      </c>
      <c r="D470" s="526"/>
      <c r="E470" s="498"/>
      <c r="F470" s="469" t="s">
        <v>114</v>
      </c>
      <c r="G470" s="470" t="s">
        <v>115</v>
      </c>
      <c r="H470" s="469" t="s">
        <v>790</v>
      </c>
      <c r="I470" s="469" t="s">
        <v>768</v>
      </c>
      <c r="J470" s="471">
        <v>86578.1</v>
      </c>
      <c r="K470" s="471">
        <v>86578.1</v>
      </c>
      <c r="L470" s="471">
        <v>130308.3</v>
      </c>
      <c r="M470" s="471">
        <f>24619900/1000</f>
        <v>24619.9</v>
      </c>
      <c r="N470" s="471">
        <f>33586600/1000</f>
        <v>33586.6</v>
      </c>
      <c r="O470" s="471">
        <f>36447600/1000</f>
        <v>36447.599999999999</v>
      </c>
    </row>
    <row r="471" spans="1:20" s="264" customFormat="1" ht="36.75" customHeight="1" x14ac:dyDescent="0.3">
      <c r="A471" s="459"/>
      <c r="B471" s="460"/>
      <c r="C471" s="500"/>
      <c r="D471" s="526"/>
      <c r="E471" s="498"/>
      <c r="F471" s="469" t="s">
        <v>114</v>
      </c>
      <c r="G471" s="470" t="s">
        <v>115</v>
      </c>
      <c r="H471" s="469" t="s">
        <v>790</v>
      </c>
      <c r="I471" s="469" t="s">
        <v>788</v>
      </c>
      <c r="J471" s="471">
        <v>4842.8999999999996</v>
      </c>
      <c r="K471" s="471">
        <v>4842.8999999999996</v>
      </c>
      <c r="L471" s="471">
        <v>3741.9</v>
      </c>
      <c r="M471" s="471">
        <f>4883200/1000</f>
        <v>4883.2</v>
      </c>
      <c r="N471" s="471">
        <f>5076700/1000</f>
        <v>5076.7</v>
      </c>
      <c r="O471" s="471">
        <f>5076700/1000</f>
        <v>5076.7</v>
      </c>
    </row>
    <row r="472" spans="1:20" s="264" customFormat="1" ht="36.75" customHeight="1" x14ac:dyDescent="0.3">
      <c r="A472" s="459"/>
      <c r="B472" s="460"/>
      <c r="C472" s="510"/>
      <c r="D472" s="526"/>
      <c r="E472" s="498"/>
      <c r="F472" s="481" t="s">
        <v>220</v>
      </c>
      <c r="G472" s="528" t="s">
        <v>73</v>
      </c>
      <c r="H472" s="481" t="s">
        <v>790</v>
      </c>
      <c r="I472" s="481" t="s">
        <v>33</v>
      </c>
      <c r="J472" s="529">
        <v>0</v>
      </c>
      <c r="K472" s="529">
        <v>0</v>
      </c>
      <c r="L472" s="471">
        <v>80</v>
      </c>
      <c r="M472" s="471">
        <v>0</v>
      </c>
      <c r="N472" s="471">
        <v>0</v>
      </c>
      <c r="O472" s="471">
        <v>0</v>
      </c>
    </row>
    <row r="473" spans="1:20" s="264" customFormat="1" ht="36.75" customHeight="1" x14ac:dyDescent="0.3">
      <c r="A473" s="459"/>
      <c r="B473" s="460"/>
      <c r="C473" s="525"/>
      <c r="D473" s="526"/>
      <c r="E473" s="498"/>
      <c r="F473" s="481" t="s">
        <v>220</v>
      </c>
      <c r="G473" s="528" t="s">
        <v>73</v>
      </c>
      <c r="H473" s="481" t="s">
        <v>790</v>
      </c>
      <c r="I473" s="481" t="s">
        <v>374</v>
      </c>
      <c r="J473" s="529">
        <v>225.5</v>
      </c>
      <c r="K473" s="529">
        <v>225.5</v>
      </c>
      <c r="L473" s="471">
        <v>525.70000000000005</v>
      </c>
      <c r="M473" s="471">
        <v>113.2</v>
      </c>
      <c r="N473" s="471">
        <v>118.2</v>
      </c>
      <c r="O473" s="471">
        <v>118.2</v>
      </c>
    </row>
    <row r="474" spans="1:20" s="264" customFormat="1" ht="36.75" customHeight="1" x14ac:dyDescent="0.3">
      <c r="A474" s="459"/>
      <c r="B474" s="460"/>
      <c r="C474" s="466" t="s">
        <v>826</v>
      </c>
      <c r="D474" s="530"/>
      <c r="E474" s="473"/>
      <c r="F474" s="469" t="s">
        <v>114</v>
      </c>
      <c r="G474" s="470" t="s">
        <v>115</v>
      </c>
      <c r="H474" s="469" t="s">
        <v>827</v>
      </c>
      <c r="I474" s="469" t="s">
        <v>768</v>
      </c>
      <c r="J474" s="471">
        <v>2739.4</v>
      </c>
      <c r="K474" s="471">
        <v>2739.4</v>
      </c>
      <c r="L474" s="471">
        <v>0</v>
      </c>
      <c r="M474" s="471">
        <v>0</v>
      </c>
      <c r="N474" s="471">
        <v>0</v>
      </c>
      <c r="O474" s="471">
        <v>0</v>
      </c>
    </row>
    <row r="475" spans="1:20" s="264" customFormat="1" ht="54.75" customHeight="1" x14ac:dyDescent="0.3">
      <c r="A475" s="459"/>
      <c r="B475" s="460"/>
      <c r="C475" s="466" t="s">
        <v>828</v>
      </c>
      <c r="D475" s="530"/>
      <c r="E475" s="473"/>
      <c r="F475" s="469" t="s">
        <v>114</v>
      </c>
      <c r="G475" s="470" t="s">
        <v>115</v>
      </c>
      <c r="H475" s="469" t="s">
        <v>829</v>
      </c>
      <c r="I475" s="469" t="s">
        <v>768</v>
      </c>
      <c r="J475" s="471">
        <v>0</v>
      </c>
      <c r="K475" s="471">
        <v>0</v>
      </c>
      <c r="L475" s="471">
        <v>888.3</v>
      </c>
      <c r="M475" s="471">
        <v>1873.9</v>
      </c>
      <c r="N475" s="471">
        <v>0</v>
      </c>
      <c r="O475" s="471">
        <v>0</v>
      </c>
    </row>
    <row r="476" spans="1:20" s="264" customFormat="1" ht="33" customHeight="1" x14ac:dyDescent="0.3">
      <c r="A476" s="459"/>
      <c r="B476" s="460"/>
      <c r="C476" s="499" t="s">
        <v>830</v>
      </c>
      <c r="D476" s="509"/>
      <c r="E476" s="486" t="s">
        <v>824</v>
      </c>
      <c r="F476" s="531"/>
      <c r="G476" s="532"/>
      <c r="H476" s="531"/>
      <c r="I476" s="531"/>
      <c r="J476" s="453">
        <f>SUM(J477:J480)</f>
        <v>16661.400000000001</v>
      </c>
      <c r="K476" s="453">
        <f t="shared" ref="K476:O476" si="100">SUM(K477:K480)</f>
        <v>16453.599999999999</v>
      </c>
      <c r="L476" s="453">
        <f t="shared" si="100"/>
        <v>28553.899999999998</v>
      </c>
      <c r="M476" s="453">
        <f t="shared" si="100"/>
        <v>2000</v>
      </c>
      <c r="N476" s="453">
        <f t="shared" si="100"/>
        <v>2392.3000000000002</v>
      </c>
      <c r="O476" s="453">
        <f t="shared" si="100"/>
        <v>18157.599999999999</v>
      </c>
    </row>
    <row r="477" spans="1:20" s="264" customFormat="1" ht="23.25" customHeight="1" x14ac:dyDescent="0.3">
      <c r="A477" s="459"/>
      <c r="B477" s="460"/>
      <c r="C477" s="527"/>
      <c r="D477" s="533"/>
      <c r="E477" s="498"/>
      <c r="F477" s="469" t="s">
        <v>114</v>
      </c>
      <c r="G477" s="470" t="s">
        <v>115</v>
      </c>
      <c r="H477" s="469" t="s">
        <v>831</v>
      </c>
      <c r="I477" s="469" t="s">
        <v>768</v>
      </c>
      <c r="J477" s="471">
        <f>11030.7+244</f>
        <v>11274.7</v>
      </c>
      <c r="K477" s="471">
        <f>10822.9+244</f>
        <v>11066.9</v>
      </c>
      <c r="L477" s="471">
        <v>8299.6</v>
      </c>
      <c r="M477" s="471">
        <v>1000</v>
      </c>
      <c r="N477" s="471">
        <v>1012.6</v>
      </c>
      <c r="O477" s="471">
        <v>5233.2</v>
      </c>
    </row>
    <row r="478" spans="1:20" s="264" customFormat="1" ht="23.25" customHeight="1" x14ac:dyDescent="0.3">
      <c r="A478" s="459"/>
      <c r="B478" s="460"/>
      <c r="C478" s="527"/>
      <c r="D478" s="533"/>
      <c r="E478" s="498"/>
      <c r="F478" s="469" t="s">
        <v>114</v>
      </c>
      <c r="G478" s="470" t="s">
        <v>115</v>
      </c>
      <c r="H478" s="469" t="s">
        <v>831</v>
      </c>
      <c r="I478" s="469" t="s">
        <v>788</v>
      </c>
      <c r="J478" s="471">
        <v>205</v>
      </c>
      <c r="K478" s="471">
        <v>205</v>
      </c>
      <c r="L478" s="471">
        <v>54.8</v>
      </c>
      <c r="M478" s="471">
        <v>0</v>
      </c>
      <c r="N478" s="471">
        <v>0</v>
      </c>
      <c r="O478" s="471">
        <v>0</v>
      </c>
    </row>
    <row r="479" spans="1:20" s="264" customFormat="1" ht="21" customHeight="1" x14ac:dyDescent="0.3">
      <c r="A479" s="459"/>
      <c r="B479" s="460"/>
      <c r="C479" s="527"/>
      <c r="D479" s="533"/>
      <c r="E479" s="498"/>
      <c r="F479" s="469" t="s">
        <v>114</v>
      </c>
      <c r="G479" s="470" t="s">
        <v>115</v>
      </c>
      <c r="H479" s="469" t="s">
        <v>832</v>
      </c>
      <c r="I479" s="469" t="s">
        <v>768</v>
      </c>
      <c r="J479" s="471">
        <v>5181.7</v>
      </c>
      <c r="K479" s="471">
        <v>5181.7</v>
      </c>
      <c r="L479" s="471">
        <v>20162.7</v>
      </c>
      <c r="M479" s="471">
        <v>1000</v>
      </c>
      <c r="N479" s="471">
        <v>1379.7</v>
      </c>
      <c r="O479" s="471">
        <v>12924.4</v>
      </c>
      <c r="R479" s="472"/>
      <c r="S479" s="472"/>
      <c r="T479" s="472"/>
    </row>
    <row r="480" spans="1:20" s="264" customFormat="1" ht="21" customHeight="1" x14ac:dyDescent="0.3">
      <c r="A480" s="459"/>
      <c r="B480" s="460"/>
      <c r="C480" s="500"/>
      <c r="D480" s="533"/>
      <c r="E480" s="498"/>
      <c r="F480" s="469" t="s">
        <v>114</v>
      </c>
      <c r="G480" s="470" t="s">
        <v>115</v>
      </c>
      <c r="H480" s="469" t="s">
        <v>832</v>
      </c>
      <c r="I480" s="469" t="s">
        <v>788</v>
      </c>
      <c r="J480" s="471">
        <v>0</v>
      </c>
      <c r="K480" s="471">
        <v>0</v>
      </c>
      <c r="L480" s="471">
        <v>36.799999999999997</v>
      </c>
      <c r="M480" s="471">
        <v>0</v>
      </c>
      <c r="N480" s="471">
        <v>0</v>
      </c>
      <c r="O480" s="471">
        <v>0</v>
      </c>
      <c r="R480" s="472"/>
      <c r="S480" s="472"/>
      <c r="T480" s="472"/>
    </row>
    <row r="481" spans="1:184" s="264" customFormat="1" ht="21" customHeight="1" x14ac:dyDescent="0.3">
      <c r="A481" s="459"/>
      <c r="B481" s="460"/>
      <c r="C481" s="523" t="s">
        <v>833</v>
      </c>
      <c r="D481" s="509"/>
      <c r="E481" s="534"/>
      <c r="F481" s="469"/>
      <c r="G481" s="470"/>
      <c r="H481" s="469"/>
      <c r="I481" s="469"/>
      <c r="J481" s="453">
        <f>J482+J483</f>
        <v>106.5</v>
      </c>
      <c r="K481" s="453">
        <f t="shared" ref="K481:O481" si="101">K482+K483</f>
        <v>106.5</v>
      </c>
      <c r="L481" s="453">
        <f t="shared" si="101"/>
        <v>50.5</v>
      </c>
      <c r="M481" s="453">
        <f t="shared" si="101"/>
        <v>124.8</v>
      </c>
      <c r="N481" s="453">
        <f t="shared" si="101"/>
        <v>130.19999999999999</v>
      </c>
      <c r="O481" s="453">
        <f t="shared" si="101"/>
        <v>136</v>
      </c>
    </row>
    <row r="482" spans="1:184" s="264" customFormat="1" ht="43.2" customHeight="1" x14ac:dyDescent="0.3">
      <c r="A482" s="459"/>
      <c r="B482" s="460"/>
      <c r="C482" s="525"/>
      <c r="D482" s="533"/>
      <c r="E482" s="486" t="s">
        <v>824</v>
      </c>
      <c r="F482" s="469" t="s">
        <v>114</v>
      </c>
      <c r="G482" s="470" t="s">
        <v>115</v>
      </c>
      <c r="H482" s="469" t="s">
        <v>834</v>
      </c>
      <c r="I482" s="469" t="s">
        <v>768</v>
      </c>
      <c r="J482" s="471">
        <v>106.5</v>
      </c>
      <c r="K482" s="471">
        <v>106.5</v>
      </c>
      <c r="L482" s="471">
        <v>34.299999999999997</v>
      </c>
      <c r="M482" s="471">
        <v>124.8</v>
      </c>
      <c r="N482" s="471">
        <v>130.19999999999999</v>
      </c>
      <c r="O482" s="471">
        <v>136</v>
      </c>
    </row>
    <row r="483" spans="1:184" s="264" customFormat="1" ht="41.4" customHeight="1" x14ac:dyDescent="0.3">
      <c r="A483" s="459"/>
      <c r="B483" s="460"/>
      <c r="C483" s="525"/>
      <c r="D483" s="533"/>
      <c r="E483" s="498"/>
      <c r="F483" s="535" t="s">
        <v>114</v>
      </c>
      <c r="G483" s="536" t="s">
        <v>115</v>
      </c>
      <c r="H483" s="469" t="s">
        <v>834</v>
      </c>
      <c r="I483" s="535" t="s">
        <v>279</v>
      </c>
      <c r="J483" s="537">
        <v>0</v>
      </c>
      <c r="K483" s="537">
        <v>0</v>
      </c>
      <c r="L483" s="537">
        <v>16.2</v>
      </c>
      <c r="M483" s="537">
        <v>0</v>
      </c>
      <c r="N483" s="537">
        <v>0</v>
      </c>
      <c r="O483" s="537">
        <v>0</v>
      </c>
    </row>
    <row r="484" spans="1:184" s="541" customFormat="1" ht="64.8" customHeight="1" x14ac:dyDescent="0.3">
      <c r="A484" s="459"/>
      <c r="B484" s="538"/>
      <c r="C484" s="466" t="s">
        <v>835</v>
      </c>
      <c r="D484" s="539"/>
      <c r="E484" s="473" t="s">
        <v>824</v>
      </c>
      <c r="F484" s="469" t="s">
        <v>114</v>
      </c>
      <c r="G484" s="470" t="s">
        <v>115</v>
      </c>
      <c r="H484" s="469" t="s">
        <v>836</v>
      </c>
      <c r="I484" s="469" t="s">
        <v>768</v>
      </c>
      <c r="J484" s="453">
        <v>295.5</v>
      </c>
      <c r="K484" s="453">
        <v>295.5</v>
      </c>
      <c r="L484" s="453">
        <v>339</v>
      </c>
      <c r="M484" s="453">
        <v>518</v>
      </c>
      <c r="N484" s="453">
        <v>143.30000000000001</v>
      </c>
      <c r="O484" s="453">
        <v>149.6</v>
      </c>
      <c r="P484" s="540"/>
      <c r="Q484" s="540"/>
      <c r="R484" s="540"/>
      <c r="S484" s="540"/>
      <c r="T484" s="540"/>
      <c r="U484" s="540"/>
      <c r="V484" s="540"/>
      <c r="W484" s="540"/>
      <c r="X484" s="540"/>
      <c r="Y484" s="540"/>
      <c r="Z484" s="540"/>
      <c r="AA484" s="540"/>
      <c r="AB484" s="540"/>
      <c r="AC484" s="540"/>
      <c r="AD484" s="540"/>
      <c r="AE484" s="540"/>
      <c r="AF484" s="540"/>
      <c r="AG484" s="540"/>
      <c r="AH484" s="540"/>
      <c r="AI484" s="540"/>
      <c r="AJ484" s="540"/>
      <c r="AK484" s="540"/>
      <c r="AL484" s="540"/>
      <c r="AM484" s="540"/>
      <c r="AN484" s="540"/>
      <c r="AO484" s="540"/>
      <c r="AP484" s="540"/>
      <c r="AQ484" s="540"/>
      <c r="AR484" s="540"/>
      <c r="AS484" s="540"/>
      <c r="AT484" s="540"/>
      <c r="AU484" s="540"/>
      <c r="AV484" s="540"/>
      <c r="AW484" s="540"/>
      <c r="AX484" s="540"/>
      <c r="AY484" s="540"/>
      <c r="AZ484" s="540"/>
      <c r="BA484" s="540"/>
      <c r="BB484" s="540"/>
      <c r="BC484" s="540"/>
      <c r="BD484" s="540"/>
      <c r="BE484" s="540"/>
      <c r="BF484" s="540"/>
      <c r="BG484" s="540"/>
      <c r="BH484" s="540"/>
      <c r="BI484" s="540"/>
      <c r="BJ484" s="540"/>
      <c r="BK484" s="540"/>
      <c r="BL484" s="540"/>
      <c r="BM484" s="540"/>
      <c r="BN484" s="540"/>
      <c r="BO484" s="540"/>
      <c r="BP484" s="540"/>
      <c r="BQ484" s="540"/>
      <c r="BR484" s="540"/>
      <c r="BS484" s="540"/>
      <c r="BT484" s="540"/>
      <c r="BU484" s="540"/>
      <c r="BV484" s="540"/>
      <c r="BW484" s="540"/>
      <c r="BX484" s="540"/>
      <c r="BY484" s="540"/>
      <c r="BZ484" s="540"/>
      <c r="CA484" s="540"/>
      <c r="CB484" s="540"/>
      <c r="CC484" s="540"/>
      <c r="CD484" s="540"/>
      <c r="CE484" s="540"/>
      <c r="CF484" s="540"/>
      <c r="CG484" s="540"/>
      <c r="CH484" s="540"/>
      <c r="CI484" s="540"/>
      <c r="CJ484" s="540"/>
      <c r="CK484" s="540"/>
      <c r="CL484" s="540"/>
      <c r="CM484" s="540"/>
      <c r="CN484" s="540"/>
      <c r="CO484" s="540"/>
      <c r="CP484" s="540"/>
      <c r="CQ484" s="540"/>
      <c r="CR484" s="540"/>
      <c r="CS484" s="540"/>
      <c r="CT484" s="540"/>
      <c r="CU484" s="540"/>
      <c r="CV484" s="540"/>
      <c r="CW484" s="540"/>
      <c r="CX484" s="540"/>
      <c r="CY484" s="540"/>
      <c r="CZ484" s="540"/>
      <c r="DA484" s="540"/>
      <c r="DB484" s="540"/>
      <c r="DC484" s="540"/>
      <c r="DD484" s="540"/>
      <c r="DE484" s="540"/>
      <c r="DF484" s="540"/>
      <c r="DG484" s="540"/>
      <c r="DH484" s="540"/>
      <c r="DI484" s="540"/>
      <c r="DJ484" s="540"/>
      <c r="DK484" s="540"/>
      <c r="DL484" s="540"/>
      <c r="DM484" s="540"/>
      <c r="DN484" s="540"/>
      <c r="DO484" s="540"/>
      <c r="DP484" s="540"/>
      <c r="DQ484" s="540"/>
      <c r="DR484" s="540"/>
      <c r="DS484" s="540"/>
      <c r="DT484" s="540"/>
      <c r="DU484" s="540"/>
      <c r="DV484" s="540"/>
      <c r="DW484" s="540"/>
      <c r="DX484" s="540"/>
      <c r="DY484" s="540"/>
      <c r="DZ484" s="540"/>
      <c r="EA484" s="540"/>
      <c r="EB484" s="540"/>
      <c r="EC484" s="540"/>
      <c r="ED484" s="540"/>
      <c r="EE484" s="540"/>
      <c r="EF484" s="540"/>
      <c r="EG484" s="540"/>
      <c r="EH484" s="540"/>
      <c r="EI484" s="540"/>
      <c r="EJ484" s="540"/>
      <c r="EK484" s="540"/>
      <c r="EL484" s="540"/>
      <c r="EM484" s="540"/>
      <c r="EN484" s="540"/>
      <c r="EO484" s="540"/>
      <c r="EP484" s="540"/>
      <c r="EQ484" s="540"/>
      <c r="ER484" s="540"/>
      <c r="ES484" s="540"/>
      <c r="ET484" s="540"/>
      <c r="EU484" s="540"/>
      <c r="EV484" s="540"/>
      <c r="EW484" s="540"/>
      <c r="EX484" s="540"/>
      <c r="EY484" s="540"/>
      <c r="EZ484" s="540"/>
      <c r="FA484" s="540"/>
      <c r="FB484" s="540"/>
      <c r="FC484" s="540"/>
      <c r="FD484" s="540"/>
      <c r="FE484" s="540"/>
      <c r="FF484" s="540"/>
      <c r="FG484" s="540"/>
      <c r="FH484" s="540"/>
      <c r="FI484" s="540"/>
      <c r="FJ484" s="540"/>
      <c r="FK484" s="540"/>
      <c r="FL484" s="540"/>
      <c r="FM484" s="540"/>
      <c r="FN484" s="540"/>
      <c r="FO484" s="540"/>
      <c r="FP484" s="540"/>
      <c r="FQ484" s="540"/>
      <c r="FR484" s="540"/>
      <c r="FS484" s="540"/>
      <c r="FT484" s="540"/>
      <c r="FU484" s="540"/>
      <c r="FV484" s="540"/>
      <c r="FW484" s="540"/>
      <c r="FX484" s="540"/>
      <c r="FY484" s="540"/>
      <c r="FZ484" s="540"/>
      <c r="GA484" s="540"/>
      <c r="GB484" s="540"/>
    </row>
    <row r="485" spans="1:184" s="541" customFormat="1" ht="30" customHeight="1" x14ac:dyDescent="0.25">
      <c r="A485" s="459"/>
      <c r="B485" s="542" t="s">
        <v>837</v>
      </c>
      <c r="C485" s="543" t="s">
        <v>838</v>
      </c>
      <c r="D485" s="544" t="s">
        <v>839</v>
      </c>
      <c r="E485" s="545" t="s">
        <v>840</v>
      </c>
      <c r="F485" s="507" t="s">
        <v>114</v>
      </c>
      <c r="G485" s="507" t="s">
        <v>114</v>
      </c>
      <c r="H485" s="507"/>
      <c r="I485" s="507"/>
      <c r="J485" s="453">
        <f t="shared" ref="J485:O485" si="102">SUM(J486:J490)</f>
        <v>6204.6</v>
      </c>
      <c r="K485" s="453">
        <f t="shared" si="102"/>
        <v>6149.3</v>
      </c>
      <c r="L485" s="453">
        <f t="shared" si="102"/>
        <v>6015.4</v>
      </c>
      <c r="M485" s="453">
        <f t="shared" si="102"/>
        <v>7008.7</v>
      </c>
      <c r="N485" s="453">
        <f t="shared" si="102"/>
        <v>7455.7</v>
      </c>
      <c r="O485" s="453">
        <f t="shared" si="102"/>
        <v>7766.4</v>
      </c>
      <c r="P485" s="540"/>
      <c r="Q485" s="540"/>
      <c r="R485" s="540"/>
      <c r="S485" s="540"/>
      <c r="T485" s="540"/>
      <c r="U485" s="540"/>
      <c r="V485" s="540"/>
      <c r="W485" s="540"/>
      <c r="X485" s="540"/>
      <c r="Y485" s="540"/>
      <c r="Z485" s="540"/>
      <c r="AA485" s="540"/>
      <c r="AB485" s="540"/>
      <c r="AC485" s="540"/>
      <c r="AD485" s="540"/>
      <c r="AE485" s="540"/>
      <c r="AF485" s="540"/>
      <c r="AG485" s="540"/>
      <c r="AH485" s="540"/>
      <c r="AI485" s="540"/>
      <c r="AJ485" s="540"/>
      <c r="AK485" s="540"/>
      <c r="AL485" s="540"/>
      <c r="AM485" s="540"/>
      <c r="AN485" s="540"/>
      <c r="AO485" s="540"/>
      <c r="AP485" s="540"/>
      <c r="AQ485" s="540"/>
      <c r="AR485" s="540"/>
      <c r="AS485" s="540"/>
      <c r="AT485" s="540"/>
      <c r="AU485" s="540"/>
      <c r="AV485" s="540"/>
      <c r="AW485" s="540"/>
      <c r="AX485" s="540"/>
      <c r="AY485" s="540"/>
      <c r="AZ485" s="540"/>
      <c r="BA485" s="540"/>
      <c r="BB485" s="540"/>
      <c r="BC485" s="540"/>
      <c r="BD485" s="540"/>
      <c r="BE485" s="540"/>
      <c r="BF485" s="540"/>
      <c r="BG485" s="540"/>
      <c r="BH485" s="540"/>
      <c r="BI485" s="540"/>
      <c r="BJ485" s="540"/>
      <c r="BK485" s="540"/>
      <c r="BL485" s="540"/>
      <c r="BM485" s="540"/>
      <c r="BN485" s="540"/>
      <c r="BO485" s="540"/>
      <c r="BP485" s="540"/>
      <c r="BQ485" s="540"/>
      <c r="BR485" s="540"/>
      <c r="BS485" s="540"/>
      <c r="BT485" s="540"/>
      <c r="BU485" s="540"/>
      <c r="BV485" s="540"/>
      <c r="BW485" s="540"/>
      <c r="BX485" s="540"/>
      <c r="BY485" s="540"/>
      <c r="BZ485" s="540"/>
      <c r="CA485" s="540"/>
      <c r="CB485" s="540"/>
      <c r="CC485" s="540"/>
      <c r="CD485" s="540"/>
      <c r="CE485" s="540"/>
      <c r="CF485" s="540"/>
      <c r="CG485" s="540"/>
      <c r="CH485" s="540"/>
      <c r="CI485" s="540"/>
      <c r="CJ485" s="540"/>
      <c r="CK485" s="540"/>
      <c r="CL485" s="540"/>
      <c r="CM485" s="540"/>
      <c r="CN485" s="540"/>
      <c r="CO485" s="540"/>
      <c r="CP485" s="540"/>
      <c r="CQ485" s="540"/>
      <c r="CR485" s="540"/>
      <c r="CS485" s="540"/>
      <c r="CT485" s="540"/>
      <c r="CU485" s="540"/>
      <c r="CV485" s="540"/>
      <c r="CW485" s="540"/>
      <c r="CX485" s="540"/>
      <c r="CY485" s="540"/>
      <c r="CZ485" s="540"/>
      <c r="DA485" s="540"/>
      <c r="DB485" s="540"/>
      <c r="DC485" s="540"/>
      <c r="DD485" s="540"/>
      <c r="DE485" s="540"/>
      <c r="DF485" s="540"/>
      <c r="DG485" s="540"/>
      <c r="DH485" s="540"/>
      <c r="DI485" s="540"/>
      <c r="DJ485" s="540"/>
      <c r="DK485" s="540"/>
      <c r="DL485" s="540"/>
      <c r="DM485" s="540"/>
      <c r="DN485" s="540"/>
      <c r="DO485" s="540"/>
      <c r="DP485" s="540"/>
      <c r="DQ485" s="540"/>
      <c r="DR485" s="540"/>
      <c r="DS485" s="540"/>
      <c r="DT485" s="540"/>
      <c r="DU485" s="540"/>
      <c r="DV485" s="540"/>
      <c r="DW485" s="540"/>
      <c r="DX485" s="540"/>
      <c r="DY485" s="540"/>
      <c r="DZ485" s="540"/>
      <c r="EA485" s="540"/>
      <c r="EB485" s="540"/>
      <c r="EC485" s="540"/>
      <c r="ED485" s="540"/>
      <c r="EE485" s="540"/>
      <c r="EF485" s="540"/>
      <c r="EG485" s="540"/>
      <c r="EH485" s="540"/>
      <c r="EI485" s="540"/>
      <c r="EJ485" s="540"/>
      <c r="EK485" s="540"/>
      <c r="EL485" s="540"/>
      <c r="EM485" s="540"/>
      <c r="EN485" s="540"/>
      <c r="EO485" s="540"/>
      <c r="EP485" s="540"/>
      <c r="EQ485" s="540"/>
      <c r="ER485" s="540"/>
      <c r="ES485" s="540"/>
      <c r="ET485" s="540"/>
      <c r="EU485" s="540"/>
      <c r="EV485" s="540"/>
      <c r="EW485" s="540"/>
      <c r="EX485" s="540"/>
      <c r="EY485" s="540"/>
      <c r="EZ485" s="540"/>
      <c r="FA485" s="540"/>
      <c r="FB485" s="540"/>
      <c r="FC485" s="540"/>
      <c r="FD485" s="540"/>
      <c r="FE485" s="540"/>
      <c r="FF485" s="540"/>
      <c r="FG485" s="540"/>
      <c r="FH485" s="540"/>
      <c r="FI485" s="540"/>
      <c r="FJ485" s="540"/>
      <c r="FK485" s="540"/>
      <c r="FL485" s="540"/>
      <c r="FM485" s="540"/>
      <c r="FN485" s="540"/>
      <c r="FO485" s="540"/>
      <c r="FP485" s="540"/>
      <c r="FQ485" s="540"/>
      <c r="FR485" s="540"/>
      <c r="FS485" s="540"/>
      <c r="FT485" s="540"/>
      <c r="FU485" s="540"/>
      <c r="FV485" s="540"/>
      <c r="FW485" s="540"/>
      <c r="FX485" s="540"/>
      <c r="FY485" s="540"/>
      <c r="FZ485" s="540"/>
      <c r="GA485" s="540"/>
      <c r="GB485" s="540"/>
    </row>
    <row r="486" spans="1:184" s="541" customFormat="1" ht="30" customHeight="1" x14ac:dyDescent="0.25">
      <c r="A486" s="459"/>
      <c r="B486" s="542"/>
      <c r="C486" s="523" t="s">
        <v>841</v>
      </c>
      <c r="D486" s="503"/>
      <c r="E486" s="486" t="s">
        <v>824</v>
      </c>
      <c r="F486" s="469" t="s">
        <v>114</v>
      </c>
      <c r="G486" s="470" t="s">
        <v>114</v>
      </c>
      <c r="H486" s="469" t="s">
        <v>842</v>
      </c>
      <c r="I486" s="469" t="s">
        <v>768</v>
      </c>
      <c r="J486" s="471">
        <v>2797</v>
      </c>
      <c r="K486" s="471">
        <v>2797</v>
      </c>
      <c r="L486" s="471">
        <v>0</v>
      </c>
      <c r="M486" s="471">
        <v>0</v>
      </c>
      <c r="N486" s="471">
        <v>0</v>
      </c>
      <c r="O486" s="471">
        <v>0</v>
      </c>
      <c r="P486" s="540"/>
      <c r="Q486" s="540"/>
      <c r="R486" s="540"/>
      <c r="S486" s="540"/>
      <c r="T486" s="540"/>
      <c r="U486" s="540"/>
      <c r="V486" s="540"/>
      <c r="W486" s="540"/>
      <c r="X486" s="540"/>
      <c r="Y486" s="540"/>
      <c r="Z486" s="540"/>
      <c r="AA486" s="540"/>
      <c r="AB486" s="540"/>
      <c r="AC486" s="540"/>
      <c r="AD486" s="540"/>
      <c r="AE486" s="540"/>
      <c r="AF486" s="540"/>
      <c r="AG486" s="540"/>
      <c r="AH486" s="540"/>
      <c r="AI486" s="540"/>
      <c r="AJ486" s="540"/>
      <c r="AK486" s="540"/>
      <c r="AL486" s="540"/>
      <c r="AM486" s="540"/>
      <c r="AN486" s="540"/>
      <c r="AO486" s="540"/>
      <c r="AP486" s="540"/>
      <c r="AQ486" s="540"/>
      <c r="AR486" s="540"/>
      <c r="AS486" s="540"/>
      <c r="AT486" s="540"/>
      <c r="AU486" s="540"/>
      <c r="AV486" s="540"/>
      <c r="AW486" s="540"/>
      <c r="AX486" s="540"/>
      <c r="AY486" s="540"/>
      <c r="AZ486" s="540"/>
      <c r="BA486" s="540"/>
      <c r="BB486" s="540"/>
      <c r="BC486" s="540"/>
      <c r="BD486" s="540"/>
      <c r="BE486" s="540"/>
      <c r="BF486" s="540"/>
      <c r="BG486" s="540"/>
      <c r="BH486" s="540"/>
      <c r="BI486" s="540"/>
      <c r="BJ486" s="540"/>
      <c r="BK486" s="540"/>
      <c r="BL486" s="540"/>
      <c r="BM486" s="540"/>
      <c r="BN486" s="540"/>
      <c r="BO486" s="540"/>
      <c r="BP486" s="540"/>
      <c r="BQ486" s="540"/>
      <c r="BR486" s="540"/>
      <c r="BS486" s="540"/>
      <c r="BT486" s="540"/>
      <c r="BU486" s="540"/>
      <c r="BV486" s="540"/>
      <c r="BW486" s="540"/>
      <c r="BX486" s="540"/>
      <c r="BY486" s="540"/>
      <c r="BZ486" s="540"/>
      <c r="CA486" s="540"/>
      <c r="CB486" s="540"/>
      <c r="CC486" s="540"/>
      <c r="CD486" s="540"/>
      <c r="CE486" s="540"/>
      <c r="CF486" s="540"/>
      <c r="CG486" s="540"/>
      <c r="CH486" s="540"/>
      <c r="CI486" s="540"/>
      <c r="CJ486" s="540"/>
      <c r="CK486" s="540"/>
      <c r="CL486" s="540"/>
      <c r="CM486" s="540"/>
      <c r="CN486" s="540"/>
      <c r="CO486" s="540"/>
      <c r="CP486" s="540"/>
      <c r="CQ486" s="540"/>
      <c r="CR486" s="540"/>
      <c r="CS486" s="540"/>
      <c r="CT486" s="540"/>
      <c r="CU486" s="540"/>
      <c r="CV486" s="540"/>
      <c r="CW486" s="540"/>
      <c r="CX486" s="540"/>
      <c r="CY486" s="540"/>
      <c r="CZ486" s="540"/>
      <c r="DA486" s="540"/>
      <c r="DB486" s="540"/>
      <c r="DC486" s="540"/>
      <c r="DD486" s="540"/>
      <c r="DE486" s="540"/>
      <c r="DF486" s="540"/>
      <c r="DG486" s="540"/>
      <c r="DH486" s="540"/>
      <c r="DI486" s="540"/>
      <c r="DJ486" s="540"/>
      <c r="DK486" s="540"/>
      <c r="DL486" s="540"/>
      <c r="DM486" s="540"/>
      <c r="DN486" s="540"/>
      <c r="DO486" s="540"/>
      <c r="DP486" s="540"/>
      <c r="DQ486" s="540"/>
      <c r="DR486" s="540"/>
      <c r="DS486" s="540"/>
      <c r="DT486" s="540"/>
      <c r="DU486" s="540"/>
      <c r="DV486" s="540"/>
      <c r="DW486" s="540"/>
      <c r="DX486" s="540"/>
      <c r="DY486" s="540"/>
      <c r="DZ486" s="540"/>
      <c r="EA486" s="540"/>
      <c r="EB486" s="540"/>
      <c r="EC486" s="540"/>
      <c r="ED486" s="540"/>
      <c r="EE486" s="540"/>
      <c r="EF486" s="540"/>
      <c r="EG486" s="540"/>
      <c r="EH486" s="540"/>
      <c r="EI486" s="540"/>
      <c r="EJ486" s="540"/>
      <c r="EK486" s="540"/>
      <c r="EL486" s="540"/>
      <c r="EM486" s="540"/>
      <c r="EN486" s="540"/>
      <c r="EO486" s="540"/>
      <c r="EP486" s="540"/>
      <c r="EQ486" s="540"/>
      <c r="ER486" s="540"/>
      <c r="ES486" s="540"/>
      <c r="ET486" s="540"/>
      <c r="EU486" s="540"/>
      <c r="EV486" s="540"/>
      <c r="EW486" s="540"/>
      <c r="EX486" s="540"/>
      <c r="EY486" s="540"/>
      <c r="EZ486" s="540"/>
      <c r="FA486" s="540"/>
      <c r="FB486" s="540"/>
      <c r="FC486" s="540"/>
      <c r="FD486" s="540"/>
      <c r="FE486" s="540"/>
      <c r="FF486" s="540"/>
      <c r="FG486" s="540"/>
      <c r="FH486" s="540"/>
      <c r="FI486" s="540"/>
      <c r="FJ486" s="540"/>
      <c r="FK486" s="540"/>
      <c r="FL486" s="540"/>
      <c r="FM486" s="540"/>
      <c r="FN486" s="540"/>
      <c r="FO486" s="540"/>
      <c r="FP486" s="540"/>
      <c r="FQ486" s="540"/>
      <c r="FR486" s="540"/>
      <c r="FS486" s="540"/>
      <c r="FT486" s="540"/>
      <c r="FU486" s="540"/>
      <c r="FV486" s="540"/>
      <c r="FW486" s="540"/>
      <c r="FX486" s="540"/>
      <c r="FY486" s="540"/>
      <c r="FZ486" s="540"/>
      <c r="GA486" s="540"/>
      <c r="GB486" s="540"/>
    </row>
    <row r="487" spans="1:184" s="541" customFormat="1" ht="30" customHeight="1" x14ac:dyDescent="0.25">
      <c r="A487" s="459"/>
      <c r="B487" s="542"/>
      <c r="C487" s="525"/>
      <c r="D487" s="546"/>
      <c r="E487" s="498"/>
      <c r="F487" s="469" t="s">
        <v>114</v>
      </c>
      <c r="G487" s="470" t="s">
        <v>114</v>
      </c>
      <c r="H487" s="469" t="s">
        <v>843</v>
      </c>
      <c r="I487" s="469" t="s">
        <v>768</v>
      </c>
      <c r="J487" s="471">
        <v>3407.6</v>
      </c>
      <c r="K487" s="471">
        <v>3352.3</v>
      </c>
      <c r="L487" s="471">
        <v>0</v>
      </c>
      <c r="M487" s="471">
        <v>0</v>
      </c>
      <c r="N487" s="471">
        <v>0</v>
      </c>
      <c r="O487" s="471">
        <v>0</v>
      </c>
      <c r="P487" s="540"/>
      <c r="Q487" s="540"/>
      <c r="R487" s="540"/>
      <c r="S487" s="540"/>
      <c r="T487" s="540"/>
      <c r="U487" s="540"/>
      <c r="V487" s="540"/>
      <c r="W487" s="540"/>
      <c r="X487" s="540"/>
      <c r="Y487" s="540"/>
      <c r="Z487" s="540"/>
      <c r="AA487" s="540"/>
      <c r="AB487" s="540"/>
      <c r="AC487" s="540"/>
      <c r="AD487" s="540"/>
      <c r="AE487" s="540"/>
      <c r="AF487" s="540"/>
      <c r="AG487" s="540"/>
      <c r="AH487" s="540"/>
      <c r="AI487" s="540"/>
      <c r="AJ487" s="540"/>
      <c r="AK487" s="540"/>
      <c r="AL487" s="540"/>
      <c r="AM487" s="540"/>
      <c r="AN487" s="540"/>
      <c r="AO487" s="540"/>
      <c r="AP487" s="540"/>
      <c r="AQ487" s="540"/>
      <c r="AR487" s="540"/>
      <c r="AS487" s="540"/>
      <c r="AT487" s="540"/>
      <c r="AU487" s="540"/>
      <c r="AV487" s="540"/>
      <c r="AW487" s="540"/>
      <c r="AX487" s="540"/>
      <c r="AY487" s="540"/>
      <c r="AZ487" s="540"/>
      <c r="BA487" s="540"/>
      <c r="BB487" s="540"/>
      <c r="BC487" s="540"/>
      <c r="BD487" s="540"/>
      <c r="BE487" s="540"/>
      <c r="BF487" s="540"/>
      <c r="BG487" s="540"/>
      <c r="BH487" s="540"/>
      <c r="BI487" s="540"/>
      <c r="BJ487" s="540"/>
      <c r="BK487" s="540"/>
      <c r="BL487" s="540"/>
      <c r="BM487" s="540"/>
      <c r="BN487" s="540"/>
      <c r="BO487" s="540"/>
      <c r="BP487" s="540"/>
      <c r="BQ487" s="540"/>
      <c r="BR487" s="540"/>
      <c r="BS487" s="540"/>
      <c r="BT487" s="540"/>
      <c r="BU487" s="540"/>
      <c r="BV487" s="540"/>
      <c r="BW487" s="540"/>
      <c r="BX487" s="540"/>
      <c r="BY487" s="540"/>
      <c r="BZ487" s="540"/>
      <c r="CA487" s="540"/>
      <c r="CB487" s="540"/>
      <c r="CC487" s="540"/>
      <c r="CD487" s="540"/>
      <c r="CE487" s="540"/>
      <c r="CF487" s="540"/>
      <c r="CG487" s="540"/>
      <c r="CH487" s="540"/>
      <c r="CI487" s="540"/>
      <c r="CJ487" s="540"/>
      <c r="CK487" s="540"/>
      <c r="CL487" s="540"/>
      <c r="CM487" s="540"/>
      <c r="CN487" s="540"/>
      <c r="CO487" s="540"/>
      <c r="CP487" s="540"/>
      <c r="CQ487" s="540"/>
      <c r="CR487" s="540"/>
      <c r="CS487" s="540"/>
      <c r="CT487" s="540"/>
      <c r="CU487" s="540"/>
      <c r="CV487" s="540"/>
      <c r="CW487" s="540"/>
      <c r="CX487" s="540"/>
      <c r="CY487" s="540"/>
      <c r="CZ487" s="540"/>
      <c r="DA487" s="540"/>
      <c r="DB487" s="540"/>
      <c r="DC487" s="540"/>
      <c r="DD487" s="540"/>
      <c r="DE487" s="540"/>
      <c r="DF487" s="540"/>
      <c r="DG487" s="540"/>
      <c r="DH487" s="540"/>
      <c r="DI487" s="540"/>
      <c r="DJ487" s="540"/>
      <c r="DK487" s="540"/>
      <c r="DL487" s="540"/>
      <c r="DM487" s="540"/>
      <c r="DN487" s="540"/>
      <c r="DO487" s="540"/>
      <c r="DP487" s="540"/>
      <c r="DQ487" s="540"/>
      <c r="DR487" s="540"/>
      <c r="DS487" s="540"/>
      <c r="DT487" s="540"/>
      <c r="DU487" s="540"/>
      <c r="DV487" s="540"/>
      <c r="DW487" s="540"/>
      <c r="DX487" s="540"/>
      <c r="DY487" s="540"/>
      <c r="DZ487" s="540"/>
      <c r="EA487" s="540"/>
      <c r="EB487" s="540"/>
      <c r="EC487" s="540"/>
      <c r="ED487" s="540"/>
      <c r="EE487" s="540"/>
      <c r="EF487" s="540"/>
      <c r="EG487" s="540"/>
      <c r="EH487" s="540"/>
      <c r="EI487" s="540"/>
      <c r="EJ487" s="540"/>
      <c r="EK487" s="540"/>
      <c r="EL487" s="540"/>
      <c r="EM487" s="540"/>
      <c r="EN487" s="540"/>
      <c r="EO487" s="540"/>
      <c r="EP487" s="540"/>
      <c r="EQ487" s="540"/>
      <c r="ER487" s="540"/>
      <c r="ES487" s="540"/>
      <c r="ET487" s="540"/>
      <c r="EU487" s="540"/>
      <c r="EV487" s="540"/>
      <c r="EW487" s="540"/>
      <c r="EX487" s="540"/>
      <c r="EY487" s="540"/>
      <c r="EZ487" s="540"/>
      <c r="FA487" s="540"/>
      <c r="FB487" s="540"/>
      <c r="FC487" s="540"/>
      <c r="FD487" s="540"/>
      <c r="FE487" s="540"/>
      <c r="FF487" s="540"/>
      <c r="FG487" s="540"/>
      <c r="FH487" s="540"/>
      <c r="FI487" s="540"/>
      <c r="FJ487" s="540"/>
      <c r="FK487" s="540"/>
      <c r="FL487" s="540"/>
      <c r="FM487" s="540"/>
      <c r="FN487" s="540"/>
      <c r="FO487" s="540"/>
      <c r="FP487" s="540"/>
      <c r="FQ487" s="540"/>
      <c r="FR487" s="540"/>
      <c r="FS487" s="540"/>
      <c r="FT487" s="540"/>
      <c r="FU487" s="540"/>
      <c r="FV487" s="540"/>
      <c r="FW487" s="540"/>
      <c r="FX487" s="540"/>
      <c r="FY487" s="540"/>
      <c r="FZ487" s="540"/>
      <c r="GA487" s="540"/>
      <c r="GB487" s="540"/>
    </row>
    <row r="488" spans="1:184" s="541" customFormat="1" ht="30" customHeight="1" x14ac:dyDescent="0.25">
      <c r="A488" s="459"/>
      <c r="B488" s="542"/>
      <c r="C488" s="499" t="s">
        <v>841</v>
      </c>
      <c r="D488" s="503"/>
      <c r="E488" s="486" t="s">
        <v>824</v>
      </c>
      <c r="F488" s="469" t="s">
        <v>114</v>
      </c>
      <c r="G488" s="470" t="s">
        <v>115</v>
      </c>
      <c r="H488" s="469" t="s">
        <v>842</v>
      </c>
      <c r="I488" s="469" t="s">
        <v>768</v>
      </c>
      <c r="J488" s="471">
        <v>0</v>
      </c>
      <c r="K488" s="471">
        <v>0</v>
      </c>
      <c r="L488" s="471">
        <v>1114.0999999999999</v>
      </c>
      <c r="M488" s="471">
        <v>2900</v>
      </c>
      <c r="N488" s="471">
        <v>3182</v>
      </c>
      <c r="O488" s="471">
        <v>3322</v>
      </c>
      <c r="P488" s="540"/>
      <c r="Q488" s="540"/>
      <c r="R488" s="540"/>
      <c r="S488" s="540"/>
      <c r="T488" s="540"/>
      <c r="U488" s="540"/>
      <c r="V488" s="540"/>
      <c r="W488" s="540"/>
      <c r="X488" s="540"/>
      <c r="Y488" s="540"/>
      <c r="Z488" s="540"/>
      <c r="AA488" s="540"/>
      <c r="AB488" s="540"/>
      <c r="AC488" s="540"/>
      <c r="AD488" s="540"/>
      <c r="AE488" s="540"/>
      <c r="AF488" s="540"/>
      <c r="AG488" s="540"/>
      <c r="AH488" s="540"/>
      <c r="AI488" s="540"/>
      <c r="AJ488" s="540"/>
      <c r="AK488" s="540"/>
      <c r="AL488" s="540"/>
      <c r="AM488" s="540"/>
      <c r="AN488" s="540"/>
      <c r="AO488" s="540"/>
      <c r="AP488" s="540"/>
      <c r="AQ488" s="540"/>
      <c r="AR488" s="540"/>
      <c r="AS488" s="540"/>
      <c r="AT488" s="540"/>
      <c r="AU488" s="540"/>
      <c r="AV488" s="540"/>
      <c r="AW488" s="540"/>
      <c r="AX488" s="540"/>
      <c r="AY488" s="540"/>
      <c r="AZ488" s="540"/>
      <c r="BA488" s="540"/>
      <c r="BB488" s="540"/>
      <c r="BC488" s="540"/>
      <c r="BD488" s="540"/>
      <c r="BE488" s="540"/>
      <c r="BF488" s="540"/>
      <c r="BG488" s="540"/>
      <c r="BH488" s="540"/>
      <c r="BI488" s="540"/>
      <c r="BJ488" s="540"/>
      <c r="BK488" s="540"/>
      <c r="BL488" s="540"/>
      <c r="BM488" s="540"/>
      <c r="BN488" s="540"/>
      <c r="BO488" s="540"/>
      <c r="BP488" s="540"/>
      <c r="BQ488" s="540"/>
      <c r="BR488" s="540"/>
      <c r="BS488" s="540"/>
      <c r="BT488" s="540"/>
      <c r="BU488" s="540"/>
      <c r="BV488" s="540"/>
      <c r="BW488" s="540"/>
      <c r="BX488" s="540"/>
      <c r="BY488" s="540"/>
      <c r="BZ488" s="540"/>
      <c r="CA488" s="540"/>
      <c r="CB488" s="540"/>
      <c r="CC488" s="540"/>
      <c r="CD488" s="540"/>
      <c r="CE488" s="540"/>
      <c r="CF488" s="540"/>
      <c r="CG488" s="540"/>
      <c r="CH488" s="540"/>
      <c r="CI488" s="540"/>
      <c r="CJ488" s="540"/>
      <c r="CK488" s="540"/>
      <c r="CL488" s="540"/>
      <c r="CM488" s="540"/>
      <c r="CN488" s="540"/>
      <c r="CO488" s="540"/>
      <c r="CP488" s="540"/>
      <c r="CQ488" s="540"/>
      <c r="CR488" s="540"/>
      <c r="CS488" s="540"/>
      <c r="CT488" s="540"/>
      <c r="CU488" s="540"/>
      <c r="CV488" s="540"/>
      <c r="CW488" s="540"/>
      <c r="CX488" s="540"/>
      <c r="CY488" s="540"/>
      <c r="CZ488" s="540"/>
      <c r="DA488" s="540"/>
      <c r="DB488" s="540"/>
      <c r="DC488" s="540"/>
      <c r="DD488" s="540"/>
      <c r="DE488" s="540"/>
      <c r="DF488" s="540"/>
      <c r="DG488" s="540"/>
      <c r="DH488" s="540"/>
      <c r="DI488" s="540"/>
      <c r="DJ488" s="540"/>
      <c r="DK488" s="540"/>
      <c r="DL488" s="540"/>
      <c r="DM488" s="540"/>
      <c r="DN488" s="540"/>
      <c r="DO488" s="540"/>
      <c r="DP488" s="540"/>
      <c r="DQ488" s="540"/>
      <c r="DR488" s="540"/>
      <c r="DS488" s="540"/>
      <c r="DT488" s="540"/>
      <c r="DU488" s="540"/>
      <c r="DV488" s="540"/>
      <c r="DW488" s="540"/>
      <c r="DX488" s="540"/>
      <c r="DY488" s="540"/>
      <c r="DZ488" s="540"/>
      <c r="EA488" s="540"/>
      <c r="EB488" s="540"/>
      <c r="EC488" s="540"/>
      <c r="ED488" s="540"/>
      <c r="EE488" s="540"/>
      <c r="EF488" s="540"/>
      <c r="EG488" s="540"/>
      <c r="EH488" s="540"/>
      <c r="EI488" s="540"/>
      <c r="EJ488" s="540"/>
      <c r="EK488" s="540"/>
      <c r="EL488" s="540"/>
      <c r="EM488" s="540"/>
      <c r="EN488" s="540"/>
      <c r="EO488" s="540"/>
      <c r="EP488" s="540"/>
      <c r="EQ488" s="540"/>
      <c r="ER488" s="540"/>
      <c r="ES488" s="540"/>
      <c r="ET488" s="540"/>
      <c r="EU488" s="540"/>
      <c r="EV488" s="540"/>
      <c r="EW488" s="540"/>
      <c r="EX488" s="540"/>
      <c r="EY488" s="540"/>
      <c r="EZ488" s="540"/>
      <c r="FA488" s="540"/>
      <c r="FB488" s="540"/>
      <c r="FC488" s="540"/>
      <c r="FD488" s="540"/>
      <c r="FE488" s="540"/>
      <c r="FF488" s="540"/>
      <c r="FG488" s="540"/>
      <c r="FH488" s="540"/>
      <c r="FI488" s="540"/>
      <c r="FJ488" s="540"/>
      <c r="FK488" s="540"/>
      <c r="FL488" s="540"/>
      <c r="FM488" s="540"/>
      <c r="FN488" s="540"/>
      <c r="FO488" s="540"/>
      <c r="FP488" s="540"/>
      <c r="FQ488" s="540"/>
      <c r="FR488" s="540"/>
      <c r="FS488" s="540"/>
      <c r="FT488" s="540"/>
      <c r="FU488" s="540"/>
      <c r="FV488" s="540"/>
      <c r="FW488" s="540"/>
      <c r="FX488" s="540"/>
      <c r="FY488" s="540"/>
      <c r="FZ488" s="540"/>
      <c r="GA488" s="540"/>
      <c r="GB488" s="540"/>
    </row>
    <row r="489" spans="1:184" s="541" customFormat="1" ht="29.4" customHeight="1" x14ac:dyDescent="0.25">
      <c r="A489" s="459"/>
      <c r="B489" s="542"/>
      <c r="C489" s="527"/>
      <c r="D489" s="546"/>
      <c r="E489" s="498"/>
      <c r="F489" s="469" t="s">
        <v>114</v>
      </c>
      <c r="G489" s="470" t="s">
        <v>115</v>
      </c>
      <c r="H489" s="469" t="s">
        <v>842</v>
      </c>
      <c r="I489" s="469" t="s">
        <v>788</v>
      </c>
      <c r="J489" s="471">
        <v>0</v>
      </c>
      <c r="K489" s="471">
        <v>0</v>
      </c>
      <c r="L489" s="471">
        <v>817.9</v>
      </c>
      <c r="M489" s="471">
        <v>0</v>
      </c>
      <c r="N489" s="471">
        <v>0</v>
      </c>
      <c r="O489" s="471">
        <v>0</v>
      </c>
      <c r="P489" s="540"/>
      <c r="Q489" s="540"/>
      <c r="R489" s="540"/>
      <c r="S489" s="540"/>
      <c r="T489" s="540"/>
      <c r="U489" s="540"/>
      <c r="V489" s="540"/>
      <c r="W489" s="540"/>
      <c r="X489" s="540"/>
      <c r="Y489" s="540"/>
      <c r="Z489" s="540"/>
      <c r="AA489" s="540"/>
      <c r="AB489" s="540"/>
      <c r="AC489" s="540"/>
      <c r="AD489" s="540"/>
      <c r="AE489" s="540"/>
      <c r="AF489" s="540"/>
      <c r="AG489" s="540"/>
      <c r="AH489" s="540"/>
      <c r="AI489" s="540"/>
      <c r="AJ489" s="540"/>
      <c r="AK489" s="540"/>
      <c r="AL489" s="540"/>
      <c r="AM489" s="540"/>
      <c r="AN489" s="540"/>
      <c r="AO489" s="540"/>
      <c r="AP489" s="540"/>
      <c r="AQ489" s="540"/>
      <c r="AR489" s="540"/>
      <c r="AS489" s="540"/>
      <c r="AT489" s="540"/>
      <c r="AU489" s="540"/>
      <c r="AV489" s="540"/>
      <c r="AW489" s="540"/>
      <c r="AX489" s="540"/>
      <c r="AY489" s="540"/>
      <c r="AZ489" s="540"/>
      <c r="BA489" s="540"/>
      <c r="BB489" s="540"/>
      <c r="BC489" s="540"/>
      <c r="BD489" s="540"/>
      <c r="BE489" s="540"/>
      <c r="BF489" s="540"/>
      <c r="BG489" s="540"/>
      <c r="BH489" s="540"/>
      <c r="BI489" s="540"/>
      <c r="BJ489" s="540"/>
      <c r="BK489" s="540"/>
      <c r="BL489" s="540"/>
      <c r="BM489" s="540"/>
      <c r="BN489" s="540"/>
      <c r="BO489" s="540"/>
      <c r="BP489" s="540"/>
      <c r="BQ489" s="540"/>
      <c r="BR489" s="540"/>
      <c r="BS489" s="540"/>
      <c r="BT489" s="540"/>
      <c r="BU489" s="540"/>
      <c r="BV489" s="540"/>
      <c r="BW489" s="540"/>
      <c r="BX489" s="540"/>
      <c r="BY489" s="540"/>
      <c r="BZ489" s="540"/>
      <c r="CA489" s="540"/>
      <c r="CB489" s="540"/>
      <c r="CC489" s="540"/>
      <c r="CD489" s="540"/>
      <c r="CE489" s="540"/>
      <c r="CF489" s="540"/>
      <c r="CG489" s="540"/>
      <c r="CH489" s="540"/>
      <c r="CI489" s="540"/>
      <c r="CJ489" s="540"/>
      <c r="CK489" s="540"/>
      <c r="CL489" s="540"/>
      <c r="CM489" s="540"/>
      <c r="CN489" s="540"/>
      <c r="CO489" s="540"/>
      <c r="CP489" s="540"/>
      <c r="CQ489" s="540"/>
      <c r="CR489" s="540"/>
      <c r="CS489" s="540"/>
      <c r="CT489" s="540"/>
      <c r="CU489" s="540"/>
      <c r="CV489" s="540"/>
      <c r="CW489" s="540"/>
      <c r="CX489" s="540"/>
      <c r="CY489" s="540"/>
      <c r="CZ489" s="540"/>
      <c r="DA489" s="540"/>
      <c r="DB489" s="540"/>
      <c r="DC489" s="540"/>
      <c r="DD489" s="540"/>
      <c r="DE489" s="540"/>
      <c r="DF489" s="540"/>
      <c r="DG489" s="540"/>
      <c r="DH489" s="540"/>
      <c r="DI489" s="540"/>
      <c r="DJ489" s="540"/>
      <c r="DK489" s="540"/>
      <c r="DL489" s="540"/>
      <c r="DM489" s="540"/>
      <c r="DN489" s="540"/>
      <c r="DO489" s="540"/>
      <c r="DP489" s="540"/>
      <c r="DQ489" s="540"/>
      <c r="DR489" s="540"/>
      <c r="DS489" s="540"/>
      <c r="DT489" s="540"/>
      <c r="DU489" s="540"/>
      <c r="DV489" s="540"/>
      <c r="DW489" s="540"/>
      <c r="DX489" s="540"/>
      <c r="DY489" s="540"/>
      <c r="DZ489" s="540"/>
      <c r="EA489" s="540"/>
      <c r="EB489" s="540"/>
      <c r="EC489" s="540"/>
      <c r="ED489" s="540"/>
      <c r="EE489" s="540"/>
      <c r="EF489" s="540"/>
      <c r="EG489" s="540"/>
      <c r="EH489" s="540"/>
      <c r="EI489" s="540"/>
      <c r="EJ489" s="540"/>
      <c r="EK489" s="540"/>
      <c r="EL489" s="540"/>
      <c r="EM489" s="540"/>
      <c r="EN489" s="540"/>
      <c r="EO489" s="540"/>
      <c r="EP489" s="540"/>
      <c r="EQ489" s="540"/>
      <c r="ER489" s="540"/>
      <c r="ES489" s="540"/>
      <c r="ET489" s="540"/>
      <c r="EU489" s="540"/>
      <c r="EV489" s="540"/>
      <c r="EW489" s="540"/>
      <c r="EX489" s="540"/>
      <c r="EY489" s="540"/>
      <c r="EZ489" s="540"/>
      <c r="FA489" s="540"/>
      <c r="FB489" s="540"/>
      <c r="FC489" s="540"/>
      <c r="FD489" s="540"/>
      <c r="FE489" s="540"/>
      <c r="FF489" s="540"/>
      <c r="FG489" s="540"/>
      <c r="FH489" s="540"/>
      <c r="FI489" s="540"/>
      <c r="FJ489" s="540"/>
      <c r="FK489" s="540"/>
      <c r="FL489" s="540"/>
      <c r="FM489" s="540"/>
      <c r="FN489" s="540"/>
      <c r="FO489" s="540"/>
      <c r="FP489" s="540"/>
      <c r="FQ489" s="540"/>
      <c r="FR489" s="540"/>
      <c r="FS489" s="540"/>
      <c r="FT489" s="540"/>
      <c r="FU489" s="540"/>
      <c r="FV489" s="540"/>
      <c r="FW489" s="540"/>
      <c r="FX489" s="540"/>
      <c r="FY489" s="540"/>
      <c r="FZ489" s="540"/>
      <c r="GA489" s="540"/>
      <c r="GB489" s="540"/>
    </row>
    <row r="490" spans="1:184" s="541" customFormat="1" ht="29.4" customHeight="1" x14ac:dyDescent="0.25">
      <c r="A490" s="459"/>
      <c r="B490" s="542"/>
      <c r="C490" s="500"/>
      <c r="D490" s="546"/>
      <c r="E490" s="498"/>
      <c r="F490" s="469" t="s">
        <v>114</v>
      </c>
      <c r="G490" s="470" t="s">
        <v>115</v>
      </c>
      <c r="H490" s="469" t="s">
        <v>843</v>
      </c>
      <c r="I490" s="469" t="s">
        <v>768</v>
      </c>
      <c r="J490" s="471">
        <v>0</v>
      </c>
      <c r="K490" s="471">
        <v>0</v>
      </c>
      <c r="L490" s="471">
        <v>4083.4</v>
      </c>
      <c r="M490" s="471">
        <v>4108.7</v>
      </c>
      <c r="N490" s="471">
        <v>4273.7</v>
      </c>
      <c r="O490" s="471">
        <v>4444.3999999999996</v>
      </c>
      <c r="P490" s="540"/>
      <c r="Q490" s="540"/>
      <c r="R490" s="540"/>
      <c r="S490" s="540"/>
      <c r="T490" s="540"/>
      <c r="U490" s="540"/>
      <c r="V490" s="540"/>
      <c r="W490" s="540"/>
      <c r="X490" s="540"/>
      <c r="Y490" s="540"/>
      <c r="Z490" s="540"/>
      <c r="AA490" s="540"/>
      <c r="AB490" s="540"/>
      <c r="AC490" s="540"/>
      <c r="AD490" s="540"/>
      <c r="AE490" s="540"/>
      <c r="AF490" s="540"/>
      <c r="AG490" s="540"/>
      <c r="AH490" s="540"/>
      <c r="AI490" s="540"/>
      <c r="AJ490" s="540"/>
      <c r="AK490" s="540"/>
      <c r="AL490" s="540"/>
      <c r="AM490" s="540"/>
      <c r="AN490" s="540"/>
      <c r="AO490" s="540"/>
      <c r="AP490" s="540"/>
      <c r="AQ490" s="540"/>
      <c r="AR490" s="540"/>
      <c r="AS490" s="540"/>
      <c r="AT490" s="540"/>
      <c r="AU490" s="540"/>
      <c r="AV490" s="540"/>
      <c r="AW490" s="540"/>
      <c r="AX490" s="540"/>
      <c r="AY490" s="540"/>
      <c r="AZ490" s="540"/>
      <c r="BA490" s="540"/>
      <c r="BB490" s="540"/>
      <c r="BC490" s="540"/>
      <c r="BD490" s="540"/>
      <c r="BE490" s="540"/>
      <c r="BF490" s="540"/>
      <c r="BG490" s="540"/>
      <c r="BH490" s="540"/>
      <c r="BI490" s="540"/>
      <c r="BJ490" s="540"/>
      <c r="BK490" s="540"/>
      <c r="BL490" s="540"/>
      <c r="BM490" s="540"/>
      <c r="BN490" s="540"/>
      <c r="BO490" s="540"/>
      <c r="BP490" s="540"/>
      <c r="BQ490" s="540"/>
      <c r="BR490" s="540"/>
      <c r="BS490" s="540"/>
      <c r="BT490" s="540"/>
      <c r="BU490" s="540"/>
      <c r="BV490" s="540"/>
      <c r="BW490" s="540"/>
      <c r="BX490" s="540"/>
      <c r="BY490" s="540"/>
      <c r="BZ490" s="540"/>
      <c r="CA490" s="540"/>
      <c r="CB490" s="540"/>
      <c r="CC490" s="540"/>
      <c r="CD490" s="540"/>
      <c r="CE490" s="540"/>
      <c r="CF490" s="540"/>
      <c r="CG490" s="540"/>
      <c r="CH490" s="540"/>
      <c r="CI490" s="540"/>
      <c r="CJ490" s="540"/>
      <c r="CK490" s="540"/>
      <c r="CL490" s="540"/>
      <c r="CM490" s="540"/>
      <c r="CN490" s="540"/>
      <c r="CO490" s="540"/>
      <c r="CP490" s="540"/>
      <c r="CQ490" s="540"/>
      <c r="CR490" s="540"/>
      <c r="CS490" s="540"/>
      <c r="CT490" s="540"/>
      <c r="CU490" s="540"/>
      <c r="CV490" s="540"/>
      <c r="CW490" s="540"/>
      <c r="CX490" s="540"/>
      <c r="CY490" s="540"/>
      <c r="CZ490" s="540"/>
      <c r="DA490" s="540"/>
      <c r="DB490" s="540"/>
      <c r="DC490" s="540"/>
      <c r="DD490" s="540"/>
      <c r="DE490" s="540"/>
      <c r="DF490" s="540"/>
      <c r="DG490" s="540"/>
      <c r="DH490" s="540"/>
      <c r="DI490" s="540"/>
      <c r="DJ490" s="540"/>
      <c r="DK490" s="540"/>
      <c r="DL490" s="540"/>
      <c r="DM490" s="540"/>
      <c r="DN490" s="540"/>
      <c r="DO490" s="540"/>
      <c r="DP490" s="540"/>
      <c r="DQ490" s="540"/>
      <c r="DR490" s="540"/>
      <c r="DS490" s="540"/>
      <c r="DT490" s="540"/>
      <c r="DU490" s="540"/>
      <c r="DV490" s="540"/>
      <c r="DW490" s="540"/>
      <c r="DX490" s="540"/>
      <c r="DY490" s="540"/>
      <c r="DZ490" s="540"/>
      <c r="EA490" s="540"/>
      <c r="EB490" s="540"/>
      <c r="EC490" s="540"/>
      <c r="ED490" s="540"/>
      <c r="EE490" s="540"/>
      <c r="EF490" s="540"/>
      <c r="EG490" s="540"/>
      <c r="EH490" s="540"/>
      <c r="EI490" s="540"/>
      <c r="EJ490" s="540"/>
      <c r="EK490" s="540"/>
      <c r="EL490" s="540"/>
      <c r="EM490" s="540"/>
      <c r="EN490" s="540"/>
      <c r="EO490" s="540"/>
      <c r="EP490" s="540"/>
      <c r="EQ490" s="540"/>
      <c r="ER490" s="540"/>
      <c r="ES490" s="540"/>
      <c r="ET490" s="540"/>
      <c r="EU490" s="540"/>
      <c r="EV490" s="540"/>
      <c r="EW490" s="540"/>
      <c r="EX490" s="540"/>
      <c r="EY490" s="540"/>
      <c r="EZ490" s="540"/>
      <c r="FA490" s="540"/>
      <c r="FB490" s="540"/>
      <c r="FC490" s="540"/>
      <c r="FD490" s="540"/>
      <c r="FE490" s="540"/>
      <c r="FF490" s="540"/>
      <c r="FG490" s="540"/>
      <c r="FH490" s="540"/>
      <c r="FI490" s="540"/>
      <c r="FJ490" s="540"/>
      <c r="FK490" s="540"/>
      <c r="FL490" s="540"/>
      <c r="FM490" s="540"/>
      <c r="FN490" s="540"/>
      <c r="FO490" s="540"/>
      <c r="FP490" s="540"/>
      <c r="FQ490" s="540"/>
      <c r="FR490" s="540"/>
      <c r="FS490" s="540"/>
      <c r="FT490" s="540"/>
      <c r="FU490" s="540"/>
      <c r="FV490" s="540"/>
      <c r="FW490" s="540"/>
      <c r="FX490" s="540"/>
      <c r="FY490" s="540"/>
      <c r="FZ490" s="540"/>
      <c r="GA490" s="540"/>
      <c r="GB490" s="540"/>
    </row>
    <row r="491" spans="1:184" s="264" customFormat="1" ht="63" customHeight="1" x14ac:dyDescent="0.25">
      <c r="A491" s="459"/>
      <c r="B491" s="547" t="s">
        <v>844</v>
      </c>
      <c r="C491" s="548" t="s">
        <v>838</v>
      </c>
      <c r="D491" s="549" t="s">
        <v>845</v>
      </c>
      <c r="E491" s="545" t="s">
        <v>840</v>
      </c>
      <c r="F491" s="507"/>
      <c r="G491" s="507"/>
      <c r="H491" s="507"/>
      <c r="I491" s="507"/>
      <c r="J491" s="550">
        <f t="shared" ref="J491:K491" si="103">J492</f>
        <v>1088.2</v>
      </c>
      <c r="K491" s="550">
        <f t="shared" si="103"/>
        <v>1088.2</v>
      </c>
      <c r="L491" s="550">
        <f>L492</f>
        <v>254.8</v>
      </c>
      <c r="M491" s="550">
        <f t="shared" ref="M491:O491" si="104">M492</f>
        <v>327.39999999999998</v>
      </c>
      <c r="N491" s="550">
        <f t="shared" si="104"/>
        <v>1385.8</v>
      </c>
      <c r="O491" s="550">
        <f t="shared" si="104"/>
        <v>1446.8</v>
      </c>
    </row>
    <row r="492" spans="1:184" s="264" customFormat="1" ht="84" customHeight="1" x14ac:dyDescent="0.25">
      <c r="A492" s="551"/>
      <c r="B492" s="552"/>
      <c r="C492" s="553" t="s">
        <v>846</v>
      </c>
      <c r="D492" s="549"/>
      <c r="E492" s="554" t="s">
        <v>847</v>
      </c>
      <c r="F492" s="528" t="s">
        <v>114</v>
      </c>
      <c r="G492" s="528" t="s">
        <v>115</v>
      </c>
      <c r="H492" s="528" t="s">
        <v>742</v>
      </c>
      <c r="I492" s="470" t="s">
        <v>768</v>
      </c>
      <c r="J492" s="555">
        <v>1088.2</v>
      </c>
      <c r="K492" s="555">
        <v>1088.2</v>
      </c>
      <c r="L492" s="555">
        <v>254.8</v>
      </c>
      <c r="M492" s="555">
        <v>327.39999999999998</v>
      </c>
      <c r="N492" s="555">
        <v>1385.8</v>
      </c>
      <c r="O492" s="555">
        <v>1446.8</v>
      </c>
    </row>
    <row r="493" spans="1:184" ht="33" customHeight="1" x14ac:dyDescent="0.25">
      <c r="A493" s="556" t="s">
        <v>848</v>
      </c>
      <c r="B493" s="557"/>
      <c r="C493" s="557"/>
      <c r="D493" s="557"/>
      <c r="E493" s="557"/>
      <c r="F493" s="557"/>
      <c r="G493" s="557"/>
      <c r="H493" s="557"/>
      <c r="I493" s="557"/>
      <c r="J493" s="557"/>
      <c r="K493" s="557"/>
      <c r="L493" s="557"/>
      <c r="M493" s="557"/>
      <c r="N493" s="557"/>
      <c r="O493" s="558"/>
    </row>
    <row r="494" spans="1:184" ht="33" customHeight="1" x14ac:dyDescent="0.3">
      <c r="A494" s="458">
        <v>925</v>
      </c>
      <c r="B494" s="456" t="s">
        <v>756</v>
      </c>
      <c r="C494" s="559"/>
      <c r="D494" s="559"/>
      <c r="E494" s="559"/>
      <c r="F494" s="559"/>
      <c r="G494" s="559"/>
      <c r="H494" s="559"/>
      <c r="I494" s="559"/>
      <c r="J494" s="453">
        <f>J495</f>
        <v>0</v>
      </c>
      <c r="K494" s="453">
        <f t="shared" ref="K494:O495" si="105">K495</f>
        <v>0</v>
      </c>
      <c r="L494" s="453">
        <f t="shared" si="105"/>
        <v>0</v>
      </c>
      <c r="M494" s="453">
        <f t="shared" si="105"/>
        <v>294.89999999999998</v>
      </c>
      <c r="N494" s="453">
        <f t="shared" si="105"/>
        <v>307.89999999999998</v>
      </c>
      <c r="O494" s="453">
        <f t="shared" si="105"/>
        <v>321.39999999999998</v>
      </c>
    </row>
    <row r="495" spans="1:184" ht="28.95" customHeight="1" x14ac:dyDescent="0.25">
      <c r="A495" s="460"/>
      <c r="B495" s="458" t="s">
        <v>849</v>
      </c>
      <c r="C495" s="466"/>
      <c r="D495" s="560"/>
      <c r="E495" s="473"/>
      <c r="F495" s="506" t="s">
        <v>114</v>
      </c>
      <c r="G495" s="507" t="s">
        <v>137</v>
      </c>
      <c r="H495" s="469"/>
      <c r="I495" s="469"/>
      <c r="J495" s="453">
        <f>J496</f>
        <v>0</v>
      </c>
      <c r="K495" s="453">
        <f t="shared" si="105"/>
        <v>0</v>
      </c>
      <c r="L495" s="453">
        <f t="shared" si="105"/>
        <v>0</v>
      </c>
      <c r="M495" s="453">
        <f t="shared" si="105"/>
        <v>294.89999999999998</v>
      </c>
      <c r="N495" s="453">
        <f t="shared" si="105"/>
        <v>307.89999999999998</v>
      </c>
      <c r="O495" s="453">
        <f t="shared" si="105"/>
        <v>321.39999999999998</v>
      </c>
    </row>
    <row r="496" spans="1:184" ht="29.4" customHeight="1" x14ac:dyDescent="0.25">
      <c r="A496" s="538"/>
      <c r="B496" s="538"/>
      <c r="C496" s="483" t="s">
        <v>769</v>
      </c>
      <c r="D496" s="484" t="s">
        <v>105</v>
      </c>
      <c r="E496" s="473" t="s">
        <v>824</v>
      </c>
      <c r="F496" s="469" t="s">
        <v>114</v>
      </c>
      <c r="G496" s="470" t="s">
        <v>137</v>
      </c>
      <c r="H496" s="469" t="s">
        <v>850</v>
      </c>
      <c r="I496" s="469" t="s">
        <v>768</v>
      </c>
      <c r="J496" s="471">
        <v>0</v>
      </c>
      <c r="K496" s="471">
        <v>0</v>
      </c>
      <c r="L496" s="471">
        <v>0</v>
      </c>
      <c r="M496" s="471">
        <v>294.89999999999998</v>
      </c>
      <c r="N496" s="471">
        <v>307.89999999999998</v>
      </c>
      <c r="O496" s="471">
        <v>321.39999999999998</v>
      </c>
    </row>
    <row r="497" spans="1:15" ht="29.4" customHeight="1" x14ac:dyDescent="0.25">
      <c r="A497" s="556" t="s">
        <v>851</v>
      </c>
      <c r="B497" s="557"/>
      <c r="C497" s="557"/>
      <c r="D497" s="557"/>
      <c r="E497" s="557"/>
      <c r="F497" s="557"/>
      <c r="G497" s="557"/>
      <c r="H497" s="557"/>
      <c r="I497" s="557"/>
      <c r="J497" s="557"/>
      <c r="K497" s="557"/>
      <c r="L497" s="557"/>
      <c r="M497" s="557"/>
      <c r="N497" s="557"/>
      <c r="O497" s="558"/>
    </row>
    <row r="498" spans="1:15" ht="29.4" customHeight="1" x14ac:dyDescent="0.3">
      <c r="A498" s="558">
        <v>925</v>
      </c>
      <c r="B498" s="456" t="s">
        <v>756</v>
      </c>
      <c r="C498" s="559"/>
      <c r="D498" s="559"/>
      <c r="E498" s="559"/>
      <c r="F498" s="559"/>
      <c r="G498" s="559"/>
      <c r="H498" s="559"/>
      <c r="I498" s="559"/>
      <c r="J498" s="453">
        <f>J499+J505+J510+J521+J524+J525+J528</f>
        <v>1370488.9</v>
      </c>
      <c r="K498" s="453">
        <f t="shared" ref="K498:O498" si="106">K499+K505+K510+K521+K524+K525+K528</f>
        <v>1365931.5</v>
      </c>
      <c r="L498" s="453">
        <f t="shared" si="106"/>
        <v>1523787.4000000001</v>
      </c>
      <c r="M498" s="453">
        <f t="shared" si="106"/>
        <v>1551401.9</v>
      </c>
      <c r="N498" s="453">
        <f t="shared" si="106"/>
        <v>1605584.8999999997</v>
      </c>
      <c r="O498" s="453">
        <f t="shared" si="106"/>
        <v>1690944.5999999996</v>
      </c>
    </row>
    <row r="499" spans="1:15" ht="29.4" customHeight="1" x14ac:dyDescent="0.25">
      <c r="A499" s="561"/>
      <c r="B499" s="458" t="s">
        <v>852</v>
      </c>
      <c r="C499" s="559"/>
      <c r="D499" s="559"/>
      <c r="E499" s="559"/>
      <c r="F499" s="506"/>
      <c r="G499" s="507"/>
      <c r="H499" s="559"/>
      <c r="I499" s="559"/>
      <c r="J499" s="453">
        <f>SUM(J500:J504)</f>
        <v>3672.6</v>
      </c>
      <c r="K499" s="453">
        <f t="shared" ref="K499:O499" si="107">SUM(K500:K504)</f>
        <v>3672.6</v>
      </c>
      <c r="L499" s="453">
        <f t="shared" si="107"/>
        <v>4400.3999999999996</v>
      </c>
      <c r="M499" s="453">
        <f t="shared" si="107"/>
        <v>4283.6000000000004</v>
      </c>
      <c r="N499" s="453">
        <f t="shared" si="107"/>
        <v>5037.7</v>
      </c>
      <c r="O499" s="453">
        <f t="shared" si="107"/>
        <v>5269.6</v>
      </c>
    </row>
    <row r="500" spans="1:15" ht="29.4" customHeight="1" x14ac:dyDescent="0.3">
      <c r="A500" s="561"/>
      <c r="B500" s="460"/>
      <c r="C500" s="466" t="s">
        <v>853</v>
      </c>
      <c r="D500" s="513"/>
      <c r="E500" s="473" t="s">
        <v>854</v>
      </c>
      <c r="F500" s="469" t="s">
        <v>114</v>
      </c>
      <c r="G500" s="470" t="s">
        <v>64</v>
      </c>
      <c r="H500" s="469" t="s">
        <v>855</v>
      </c>
      <c r="I500" s="469" t="s">
        <v>768</v>
      </c>
      <c r="J500" s="471">
        <v>2195.6</v>
      </c>
      <c r="K500" s="471">
        <v>2195.6</v>
      </c>
      <c r="L500" s="471">
        <v>2562</v>
      </c>
      <c r="M500" s="471">
        <v>2685</v>
      </c>
      <c r="N500" s="471">
        <v>2788</v>
      </c>
      <c r="O500" s="471">
        <v>2891</v>
      </c>
    </row>
    <row r="501" spans="1:15" ht="29.4" customHeight="1" x14ac:dyDescent="0.3">
      <c r="A501" s="561"/>
      <c r="B501" s="460"/>
      <c r="C501" s="466" t="s">
        <v>826</v>
      </c>
      <c r="D501" s="513"/>
      <c r="E501" s="473" t="s">
        <v>854</v>
      </c>
      <c r="F501" s="469" t="s">
        <v>114</v>
      </c>
      <c r="G501" s="470" t="s">
        <v>64</v>
      </c>
      <c r="H501" s="469" t="s">
        <v>855</v>
      </c>
      <c r="I501" s="469" t="s">
        <v>788</v>
      </c>
      <c r="J501" s="471">
        <v>28.7</v>
      </c>
      <c r="K501" s="471">
        <v>28.7</v>
      </c>
      <c r="L501" s="471">
        <v>0</v>
      </c>
      <c r="M501" s="471">
        <v>0</v>
      </c>
      <c r="N501" s="471">
        <v>0</v>
      </c>
      <c r="O501" s="471">
        <v>0</v>
      </c>
    </row>
    <row r="502" spans="1:15" ht="29.4" customHeight="1" x14ac:dyDescent="0.3">
      <c r="A502" s="561"/>
      <c r="B502" s="460"/>
      <c r="C502" s="466" t="s">
        <v>853</v>
      </c>
      <c r="D502" s="562"/>
      <c r="E502" s="486" t="s">
        <v>854</v>
      </c>
      <c r="F502" s="469" t="s">
        <v>114</v>
      </c>
      <c r="G502" s="470" t="s">
        <v>64</v>
      </c>
      <c r="H502" s="469" t="s">
        <v>856</v>
      </c>
      <c r="I502" s="469" t="s">
        <v>768</v>
      </c>
      <c r="J502" s="471">
        <v>1005.6</v>
      </c>
      <c r="K502" s="471">
        <v>1005.6</v>
      </c>
      <c r="L502" s="471">
        <v>1208.4000000000001</v>
      </c>
      <c r="M502" s="471">
        <v>1098.5999999999999</v>
      </c>
      <c r="N502" s="471">
        <v>1729.7</v>
      </c>
      <c r="O502" s="471">
        <v>1838.6</v>
      </c>
    </row>
    <row r="503" spans="1:15" ht="29.4" customHeight="1" x14ac:dyDescent="0.3">
      <c r="A503" s="561"/>
      <c r="B503" s="460"/>
      <c r="C503" s="466" t="s">
        <v>826</v>
      </c>
      <c r="D503" s="562"/>
      <c r="E503" s="486" t="s">
        <v>854</v>
      </c>
      <c r="F503" s="469" t="s">
        <v>114</v>
      </c>
      <c r="G503" s="470" t="s">
        <v>64</v>
      </c>
      <c r="H503" s="469" t="s">
        <v>856</v>
      </c>
      <c r="I503" s="469" t="s">
        <v>788</v>
      </c>
      <c r="J503" s="471">
        <v>8.9</v>
      </c>
      <c r="K503" s="471">
        <v>8.9</v>
      </c>
      <c r="L503" s="471">
        <v>0</v>
      </c>
      <c r="M503" s="471">
        <v>0</v>
      </c>
      <c r="N503" s="471">
        <v>0</v>
      </c>
      <c r="O503" s="471">
        <v>0</v>
      </c>
    </row>
    <row r="504" spans="1:15" ht="29.4" customHeight="1" x14ac:dyDescent="0.3">
      <c r="A504" s="561"/>
      <c r="B504" s="538"/>
      <c r="C504" s="466"/>
      <c r="D504" s="562"/>
      <c r="E504" s="486"/>
      <c r="F504" s="469" t="s">
        <v>220</v>
      </c>
      <c r="G504" s="470" t="s">
        <v>73</v>
      </c>
      <c r="H504" s="469" t="s">
        <v>856</v>
      </c>
      <c r="I504" s="481" t="s">
        <v>374</v>
      </c>
      <c r="J504" s="529">
        <v>433.8</v>
      </c>
      <c r="K504" s="529">
        <v>433.8</v>
      </c>
      <c r="L504" s="471">
        <v>630</v>
      </c>
      <c r="M504" s="471">
        <v>500</v>
      </c>
      <c r="N504" s="471">
        <v>520</v>
      </c>
      <c r="O504" s="471">
        <v>540</v>
      </c>
    </row>
    <row r="505" spans="1:15" ht="29.4" customHeight="1" x14ac:dyDescent="0.3">
      <c r="A505" s="561"/>
      <c r="B505" s="458" t="s">
        <v>857</v>
      </c>
      <c r="C505" s="466"/>
      <c r="D505" s="513"/>
      <c r="E505" s="473"/>
      <c r="F505" s="506" t="s">
        <v>114</v>
      </c>
      <c r="G505" s="507" t="s">
        <v>487</v>
      </c>
      <c r="H505" s="506"/>
      <c r="I505" s="506"/>
      <c r="J505" s="453">
        <f>SUM(J506:J509)</f>
        <v>14459.1</v>
      </c>
      <c r="K505" s="453">
        <f t="shared" ref="K505:O505" si="108">SUM(K506:K509)</f>
        <v>14459.1</v>
      </c>
      <c r="L505" s="453">
        <f t="shared" si="108"/>
        <v>16995.7</v>
      </c>
      <c r="M505" s="453">
        <f t="shared" si="108"/>
        <v>9235.5</v>
      </c>
      <c r="N505" s="453">
        <f t="shared" si="108"/>
        <v>9604.2999999999993</v>
      </c>
      <c r="O505" s="453">
        <f t="shared" si="108"/>
        <v>9988.1</v>
      </c>
    </row>
    <row r="506" spans="1:15" ht="29.4" customHeight="1" x14ac:dyDescent="0.3">
      <c r="A506" s="561"/>
      <c r="B506" s="460"/>
      <c r="C506" s="466" t="s">
        <v>853</v>
      </c>
      <c r="D506" s="513"/>
      <c r="E506" s="473" t="s">
        <v>854</v>
      </c>
      <c r="F506" s="469" t="s">
        <v>114</v>
      </c>
      <c r="G506" s="470" t="s">
        <v>20</v>
      </c>
      <c r="H506" s="469" t="s">
        <v>858</v>
      </c>
      <c r="I506" s="469" t="s">
        <v>768</v>
      </c>
      <c r="J506" s="471">
        <v>5840.5</v>
      </c>
      <c r="K506" s="471">
        <v>5840.5</v>
      </c>
      <c r="L506" s="471">
        <v>6580.1</v>
      </c>
      <c r="M506" s="471">
        <v>4526</v>
      </c>
      <c r="N506" s="471">
        <v>4706.3</v>
      </c>
      <c r="O506" s="471">
        <v>4894.3</v>
      </c>
    </row>
    <row r="507" spans="1:15" ht="29.4" customHeight="1" x14ac:dyDescent="0.3">
      <c r="A507" s="561"/>
      <c r="B507" s="460"/>
      <c r="C507" s="466" t="s">
        <v>826</v>
      </c>
      <c r="D507" s="513"/>
      <c r="E507" s="473" t="s">
        <v>854</v>
      </c>
      <c r="F507" s="469" t="s">
        <v>114</v>
      </c>
      <c r="G507" s="470" t="s">
        <v>20</v>
      </c>
      <c r="H507" s="469" t="s">
        <v>858</v>
      </c>
      <c r="I507" s="469" t="s">
        <v>788</v>
      </c>
      <c r="J507" s="471">
        <v>45.5</v>
      </c>
      <c r="K507" s="471">
        <v>45.5</v>
      </c>
      <c r="L507" s="471">
        <v>0</v>
      </c>
      <c r="M507" s="471">
        <v>0</v>
      </c>
      <c r="N507" s="471">
        <v>0</v>
      </c>
      <c r="O507" s="471">
        <v>0</v>
      </c>
    </row>
    <row r="508" spans="1:15" ht="29.4" customHeight="1" x14ac:dyDescent="0.3">
      <c r="A508" s="561"/>
      <c r="B508" s="460"/>
      <c r="C508" s="466" t="s">
        <v>853</v>
      </c>
      <c r="D508" s="513"/>
      <c r="E508" s="473" t="s">
        <v>854</v>
      </c>
      <c r="F508" s="469" t="s">
        <v>114</v>
      </c>
      <c r="G508" s="470" t="s">
        <v>64</v>
      </c>
      <c r="H508" s="469" t="s">
        <v>859</v>
      </c>
      <c r="I508" s="469" t="s">
        <v>768</v>
      </c>
      <c r="J508" s="471">
        <v>8080.9</v>
      </c>
      <c r="K508" s="471">
        <v>8080.9</v>
      </c>
      <c r="L508" s="471">
        <v>10415.6</v>
      </c>
      <c r="M508" s="471">
        <v>4709.5</v>
      </c>
      <c r="N508" s="471">
        <v>4898</v>
      </c>
      <c r="O508" s="471">
        <v>5093.8</v>
      </c>
    </row>
    <row r="509" spans="1:15" ht="29.4" customHeight="1" x14ac:dyDescent="0.3">
      <c r="A509" s="561"/>
      <c r="B509" s="538"/>
      <c r="C509" s="466" t="s">
        <v>826</v>
      </c>
      <c r="D509" s="513"/>
      <c r="E509" s="473" t="s">
        <v>854</v>
      </c>
      <c r="F509" s="469" t="s">
        <v>114</v>
      </c>
      <c r="G509" s="470" t="s">
        <v>64</v>
      </c>
      <c r="H509" s="469" t="s">
        <v>859</v>
      </c>
      <c r="I509" s="469" t="s">
        <v>788</v>
      </c>
      <c r="J509" s="471">
        <v>492.2</v>
      </c>
      <c r="K509" s="471">
        <v>492.2</v>
      </c>
      <c r="L509" s="471">
        <v>0</v>
      </c>
      <c r="M509" s="471">
        <v>0</v>
      </c>
      <c r="N509" s="471">
        <v>0</v>
      </c>
      <c r="O509" s="471">
        <v>0</v>
      </c>
    </row>
    <row r="510" spans="1:15" ht="29.4" customHeight="1" x14ac:dyDescent="0.3">
      <c r="A510" s="561"/>
      <c r="B510" s="458" t="s">
        <v>860</v>
      </c>
      <c r="C510" s="523"/>
      <c r="D510" s="513"/>
      <c r="E510" s="486"/>
      <c r="F510" s="506" t="s">
        <v>114</v>
      </c>
      <c r="G510" s="507" t="s">
        <v>487</v>
      </c>
      <c r="H510" s="469"/>
      <c r="I510" s="469"/>
      <c r="J510" s="453">
        <f>SUM(J511:J520)</f>
        <v>1181146.1000000001</v>
      </c>
      <c r="K510" s="453">
        <f t="shared" ref="K510:O510" si="109">SUM(K511:K520)</f>
        <v>1181146.1000000001</v>
      </c>
      <c r="L510" s="453">
        <f t="shared" si="109"/>
        <v>1335513.2000000002</v>
      </c>
      <c r="M510" s="453">
        <f t="shared" si="109"/>
        <v>1365860.3</v>
      </c>
      <c r="N510" s="453">
        <f t="shared" si="109"/>
        <v>1414908.9999999998</v>
      </c>
      <c r="O510" s="453">
        <f t="shared" si="109"/>
        <v>1496938.2</v>
      </c>
    </row>
    <row r="511" spans="1:15" ht="29.4" customHeight="1" x14ac:dyDescent="0.25">
      <c r="A511" s="561"/>
      <c r="B511" s="460"/>
      <c r="C511" s="499" t="s">
        <v>853</v>
      </c>
      <c r="D511" s="563"/>
      <c r="E511" s="486" t="s">
        <v>854</v>
      </c>
      <c r="F511" s="469" t="s">
        <v>114</v>
      </c>
      <c r="G511" s="470" t="s">
        <v>20</v>
      </c>
      <c r="H511" s="469" t="s">
        <v>861</v>
      </c>
      <c r="I511" s="469" t="s">
        <v>761</v>
      </c>
      <c r="J511" s="471">
        <v>490681.2</v>
      </c>
      <c r="K511" s="471">
        <v>490681.2</v>
      </c>
      <c r="L511" s="471">
        <v>478109.4</v>
      </c>
      <c r="M511" s="471">
        <f>485009400/1000</f>
        <v>485009.4</v>
      </c>
      <c r="N511" s="471">
        <f>525857600/1000</f>
        <v>525857.6</v>
      </c>
      <c r="O511" s="471">
        <f>560997700/1000</f>
        <v>560997.69999999995</v>
      </c>
    </row>
    <row r="512" spans="1:15" ht="29.4" customHeight="1" x14ac:dyDescent="0.25">
      <c r="A512" s="561"/>
      <c r="B512" s="460"/>
      <c r="C512" s="500"/>
      <c r="D512" s="564"/>
      <c r="E512" s="475"/>
      <c r="F512" s="469" t="s">
        <v>114</v>
      </c>
      <c r="G512" s="470" t="s">
        <v>20</v>
      </c>
      <c r="H512" s="469" t="s">
        <v>861</v>
      </c>
      <c r="I512" s="469" t="s">
        <v>768</v>
      </c>
      <c r="J512" s="471">
        <v>0</v>
      </c>
      <c r="K512" s="471">
        <v>0</v>
      </c>
      <c r="L512" s="471">
        <v>71034.5</v>
      </c>
      <c r="M512" s="471">
        <f>75543600/1000</f>
        <v>75543.600000000006</v>
      </c>
      <c r="N512" s="471">
        <f>75543600/1000</f>
        <v>75543.600000000006</v>
      </c>
      <c r="O512" s="471">
        <f>75543600/1000</f>
        <v>75543.600000000006</v>
      </c>
    </row>
    <row r="513" spans="1:16" ht="49.2" customHeight="1" x14ac:dyDescent="0.3">
      <c r="A513" s="561"/>
      <c r="B513" s="460"/>
      <c r="C513" s="466" t="s">
        <v>826</v>
      </c>
      <c r="D513" s="513"/>
      <c r="E513" s="473" t="s">
        <v>854</v>
      </c>
      <c r="F513" s="469" t="s">
        <v>114</v>
      </c>
      <c r="G513" s="470" t="s">
        <v>20</v>
      </c>
      <c r="H513" s="469" t="s">
        <v>861</v>
      </c>
      <c r="I513" s="469" t="s">
        <v>764</v>
      </c>
      <c r="J513" s="471">
        <v>11133.4</v>
      </c>
      <c r="K513" s="471">
        <v>11133.4</v>
      </c>
      <c r="L513" s="471">
        <v>0</v>
      </c>
      <c r="M513" s="471">
        <v>0</v>
      </c>
      <c r="N513" s="471">
        <v>0</v>
      </c>
      <c r="O513" s="471">
        <v>0</v>
      </c>
    </row>
    <row r="514" spans="1:16" ht="29.4" customHeight="1" x14ac:dyDescent="0.25">
      <c r="A514" s="561"/>
      <c r="B514" s="460"/>
      <c r="C514" s="499" t="s">
        <v>853</v>
      </c>
      <c r="D514" s="563"/>
      <c r="E514" s="486" t="s">
        <v>854</v>
      </c>
      <c r="F514" s="469" t="s">
        <v>114</v>
      </c>
      <c r="G514" s="470" t="s">
        <v>64</v>
      </c>
      <c r="H514" s="469" t="s">
        <v>862</v>
      </c>
      <c r="I514" s="469" t="s">
        <v>761</v>
      </c>
      <c r="J514" s="471">
        <v>662467.4</v>
      </c>
      <c r="K514" s="471">
        <v>662467.4</v>
      </c>
      <c r="L514" s="471">
        <v>668681.80000000005</v>
      </c>
      <c r="M514" s="471">
        <f>631801200/1000</f>
        <v>631801.19999999995</v>
      </c>
      <c r="N514" s="471">
        <f>700948600/1000</f>
        <v>700948.6</v>
      </c>
      <c r="O514" s="471">
        <f>745242200/1000</f>
        <v>745242.2</v>
      </c>
    </row>
    <row r="515" spans="1:16" ht="29.4" customHeight="1" x14ac:dyDescent="0.25">
      <c r="A515" s="561"/>
      <c r="B515" s="460"/>
      <c r="C515" s="500"/>
      <c r="D515" s="564"/>
      <c r="E515" s="475"/>
      <c r="F515" s="469" t="s">
        <v>114</v>
      </c>
      <c r="G515" s="470" t="s">
        <v>64</v>
      </c>
      <c r="H515" s="469" t="s">
        <v>862</v>
      </c>
      <c r="I515" s="469" t="s">
        <v>768</v>
      </c>
      <c r="J515" s="471">
        <v>0</v>
      </c>
      <c r="K515" s="471">
        <v>0</v>
      </c>
      <c r="L515" s="471">
        <v>105047.3</v>
      </c>
      <c r="M515" s="471">
        <f>160796800/1000</f>
        <v>160796.79999999999</v>
      </c>
      <c r="N515" s="471">
        <f>99965300/1000</f>
        <v>99965.3</v>
      </c>
      <c r="O515" s="471">
        <f>100798000/1000</f>
        <v>100798</v>
      </c>
    </row>
    <row r="516" spans="1:16" ht="29.4" customHeight="1" x14ac:dyDescent="0.25">
      <c r="A516" s="561"/>
      <c r="B516" s="460"/>
      <c r="C516" s="466" t="s">
        <v>826</v>
      </c>
      <c r="D516" s="484" t="s">
        <v>105</v>
      </c>
      <c r="E516" s="473" t="s">
        <v>854</v>
      </c>
      <c r="F516" s="469" t="s">
        <v>114</v>
      </c>
      <c r="G516" s="470" t="s">
        <v>64</v>
      </c>
      <c r="H516" s="469" t="s">
        <v>862</v>
      </c>
      <c r="I516" s="469" t="s">
        <v>764</v>
      </c>
      <c r="J516" s="471">
        <v>11893.2</v>
      </c>
      <c r="K516" s="471">
        <v>11893.2</v>
      </c>
      <c r="L516" s="471">
        <v>0</v>
      </c>
      <c r="M516" s="471">
        <v>0</v>
      </c>
      <c r="N516" s="471">
        <v>0</v>
      </c>
      <c r="O516" s="471">
        <v>0</v>
      </c>
    </row>
    <row r="517" spans="1:16" ht="29.4" customHeight="1" x14ac:dyDescent="0.25">
      <c r="A517" s="561"/>
      <c r="B517" s="460"/>
      <c r="C517" s="466" t="s">
        <v>853</v>
      </c>
      <c r="D517" s="489" t="s">
        <v>105</v>
      </c>
      <c r="E517" s="473" t="s">
        <v>854</v>
      </c>
      <c r="F517" s="469" t="s">
        <v>114</v>
      </c>
      <c r="G517" s="470" t="s">
        <v>64</v>
      </c>
      <c r="H517" s="469" t="s">
        <v>863</v>
      </c>
      <c r="I517" s="469" t="s">
        <v>768</v>
      </c>
      <c r="J517" s="471">
        <v>4963.6000000000004</v>
      </c>
      <c r="K517" s="471">
        <v>4963.6000000000004</v>
      </c>
      <c r="L517" s="471">
        <v>3954.4</v>
      </c>
      <c r="M517" s="471">
        <v>4160.3</v>
      </c>
      <c r="N517" s="471">
        <v>4044.9</v>
      </c>
      <c r="O517" s="471">
        <v>4022.5</v>
      </c>
    </row>
    <row r="518" spans="1:16" ht="29.4" customHeight="1" x14ac:dyDescent="0.25">
      <c r="A518" s="561"/>
      <c r="B518" s="460"/>
      <c r="C518" s="499" t="s">
        <v>826</v>
      </c>
      <c r="D518" s="495"/>
      <c r="E518" s="473" t="s">
        <v>854</v>
      </c>
      <c r="F518" s="469" t="s">
        <v>114</v>
      </c>
      <c r="G518" s="470" t="s">
        <v>64</v>
      </c>
      <c r="H518" s="469" t="s">
        <v>863</v>
      </c>
      <c r="I518" s="469" t="s">
        <v>788</v>
      </c>
      <c r="J518" s="471">
        <v>7.3</v>
      </c>
      <c r="K518" s="471">
        <v>7.3</v>
      </c>
      <c r="L518" s="471">
        <v>0</v>
      </c>
      <c r="M518" s="471">
        <v>0</v>
      </c>
      <c r="N518" s="471">
        <v>0</v>
      </c>
      <c r="O518" s="471">
        <v>0</v>
      </c>
    </row>
    <row r="519" spans="1:16" ht="29.4" customHeight="1" x14ac:dyDescent="0.25">
      <c r="A519" s="561"/>
      <c r="B519" s="460"/>
      <c r="C519" s="500"/>
      <c r="D519" s="484" t="s">
        <v>105</v>
      </c>
      <c r="E519" s="473" t="s">
        <v>854</v>
      </c>
      <c r="F519" s="469" t="s">
        <v>114</v>
      </c>
      <c r="G519" s="470" t="s">
        <v>64</v>
      </c>
      <c r="H519" s="469" t="s">
        <v>863</v>
      </c>
      <c r="I519" s="469" t="s">
        <v>33</v>
      </c>
      <c r="J519" s="471">
        <v>0</v>
      </c>
      <c r="K519" s="471">
        <v>0</v>
      </c>
      <c r="L519" s="471">
        <v>15.5</v>
      </c>
      <c r="M519" s="471">
        <v>0</v>
      </c>
      <c r="N519" s="471">
        <v>0</v>
      </c>
      <c r="O519" s="471">
        <v>0</v>
      </c>
    </row>
    <row r="520" spans="1:16" ht="29.4" customHeight="1" x14ac:dyDescent="0.25">
      <c r="A520" s="561"/>
      <c r="B520" s="460"/>
      <c r="C520" s="466" t="s">
        <v>853</v>
      </c>
      <c r="D520" s="484" t="s">
        <v>105</v>
      </c>
      <c r="E520" s="486" t="s">
        <v>854</v>
      </c>
      <c r="F520" s="469" t="s">
        <v>114</v>
      </c>
      <c r="G520" s="470" t="s">
        <v>64</v>
      </c>
      <c r="H520" s="469" t="s">
        <v>864</v>
      </c>
      <c r="I520" s="469" t="s">
        <v>768</v>
      </c>
      <c r="J520" s="471">
        <v>0</v>
      </c>
      <c r="K520" s="471">
        <v>0</v>
      </c>
      <c r="L520" s="471">
        <v>8670.2999999999993</v>
      </c>
      <c r="M520" s="471">
        <v>8549</v>
      </c>
      <c r="N520" s="471">
        <v>8549</v>
      </c>
      <c r="O520" s="471">
        <v>10334.200000000001</v>
      </c>
    </row>
    <row r="521" spans="1:16" ht="29.4" customHeight="1" x14ac:dyDescent="0.3">
      <c r="A521" s="561"/>
      <c r="B521" s="542" t="s">
        <v>865</v>
      </c>
      <c r="C521" s="499" t="s">
        <v>853</v>
      </c>
      <c r="D521" s="513"/>
      <c r="E521" s="473"/>
      <c r="F521" s="469" t="s">
        <v>114</v>
      </c>
      <c r="G521" s="470" t="s">
        <v>64</v>
      </c>
      <c r="H521" s="469"/>
      <c r="I521" s="469"/>
      <c r="J521" s="453">
        <f>J522+J523</f>
        <v>49840.7</v>
      </c>
      <c r="K521" s="453">
        <f t="shared" ref="K521:O521" si="110">K522+K523</f>
        <v>49840.7</v>
      </c>
      <c r="L521" s="453">
        <f t="shared" si="110"/>
        <v>50231.199999999997</v>
      </c>
      <c r="M521" s="453">
        <f t="shared" si="110"/>
        <v>48825</v>
      </c>
      <c r="N521" s="453">
        <f t="shared" si="110"/>
        <v>48903.1</v>
      </c>
      <c r="O521" s="453">
        <f t="shared" si="110"/>
        <v>48981.2</v>
      </c>
    </row>
    <row r="522" spans="1:16" ht="29.4" customHeight="1" x14ac:dyDescent="0.25">
      <c r="A522" s="561"/>
      <c r="B522" s="542"/>
      <c r="C522" s="527"/>
      <c r="D522" s="489" t="s">
        <v>105</v>
      </c>
      <c r="E522" s="473" t="s">
        <v>854</v>
      </c>
      <c r="F522" s="469" t="s">
        <v>114</v>
      </c>
      <c r="G522" s="470" t="s">
        <v>64</v>
      </c>
      <c r="H522" s="469" t="s">
        <v>866</v>
      </c>
      <c r="I522" s="469" t="s">
        <v>768</v>
      </c>
      <c r="J522" s="471">
        <v>48814.6</v>
      </c>
      <c r="K522" s="471">
        <v>48814.6</v>
      </c>
      <c r="L522" s="471">
        <v>50231.199999999997</v>
      </c>
      <c r="M522" s="471">
        <v>48825</v>
      </c>
      <c r="N522" s="471">
        <v>48903.1</v>
      </c>
      <c r="O522" s="471">
        <v>48981.2</v>
      </c>
    </row>
    <row r="523" spans="1:16" ht="29.4" customHeight="1" x14ac:dyDescent="0.25">
      <c r="A523" s="561"/>
      <c r="B523" s="542"/>
      <c r="C523" s="500"/>
      <c r="D523" s="495"/>
      <c r="E523" s="473" t="s">
        <v>854</v>
      </c>
      <c r="F523" s="469" t="s">
        <v>114</v>
      </c>
      <c r="G523" s="470" t="s">
        <v>64</v>
      </c>
      <c r="H523" s="469" t="s">
        <v>866</v>
      </c>
      <c r="I523" s="469" t="s">
        <v>788</v>
      </c>
      <c r="J523" s="471">
        <v>1026.0999999999999</v>
      </c>
      <c r="K523" s="471">
        <v>1026.0999999999999</v>
      </c>
      <c r="L523" s="471">
        <v>0</v>
      </c>
      <c r="M523" s="471">
        <v>0</v>
      </c>
      <c r="N523" s="471">
        <v>0</v>
      </c>
      <c r="O523" s="471">
        <v>0</v>
      </c>
    </row>
    <row r="524" spans="1:16" ht="29.4" customHeight="1" x14ac:dyDescent="0.3">
      <c r="A524" s="561"/>
      <c r="B524" s="565" t="s">
        <v>867</v>
      </c>
      <c r="C524" s="466" t="s">
        <v>868</v>
      </c>
      <c r="D524" s="513"/>
      <c r="E524" s="473"/>
      <c r="F524" s="506" t="s">
        <v>114</v>
      </c>
      <c r="G524" s="507" t="s">
        <v>21</v>
      </c>
      <c r="H524" s="506" t="s">
        <v>869</v>
      </c>
      <c r="I524" s="506" t="s">
        <v>788</v>
      </c>
      <c r="J524" s="453">
        <v>78.2</v>
      </c>
      <c r="K524" s="453">
        <v>78.2</v>
      </c>
      <c r="L524" s="453">
        <v>93.7</v>
      </c>
      <c r="M524" s="453">
        <v>93.7</v>
      </c>
      <c r="N524" s="453">
        <v>93.7</v>
      </c>
      <c r="O524" s="566">
        <v>93.7</v>
      </c>
      <c r="P524" s="567"/>
    </row>
    <row r="525" spans="1:16" ht="29.4" customHeight="1" x14ac:dyDescent="0.25">
      <c r="A525" s="561"/>
      <c r="B525" s="568" t="s">
        <v>870</v>
      </c>
      <c r="C525" s="499" t="s">
        <v>871</v>
      </c>
      <c r="D525" s="484" t="s">
        <v>105</v>
      </c>
      <c r="E525" s="473" t="s">
        <v>872</v>
      </c>
      <c r="F525" s="506" t="s">
        <v>114</v>
      </c>
      <c r="G525" s="507" t="s">
        <v>487</v>
      </c>
      <c r="H525" s="506"/>
      <c r="I525" s="506"/>
      <c r="J525" s="453">
        <f>J526+J527</f>
        <v>16</v>
      </c>
      <c r="K525" s="453">
        <f t="shared" ref="K525:O525" si="111">K526+K527</f>
        <v>16</v>
      </c>
      <c r="L525" s="453">
        <f t="shared" si="111"/>
        <v>15.2</v>
      </c>
      <c r="M525" s="453">
        <f t="shared" si="111"/>
        <v>154.4</v>
      </c>
      <c r="N525" s="453">
        <f t="shared" si="111"/>
        <v>154.4</v>
      </c>
      <c r="O525" s="453">
        <f t="shared" si="111"/>
        <v>154.4</v>
      </c>
      <c r="P525" s="567"/>
    </row>
    <row r="526" spans="1:16" ht="29.4" customHeight="1" x14ac:dyDescent="0.3">
      <c r="A526" s="561"/>
      <c r="B526" s="569"/>
      <c r="C526" s="527"/>
      <c r="D526" s="513"/>
      <c r="E526" s="473"/>
      <c r="F526" s="469" t="s">
        <v>114</v>
      </c>
      <c r="G526" s="470" t="s">
        <v>115</v>
      </c>
      <c r="H526" s="469" t="s">
        <v>873</v>
      </c>
      <c r="I526" s="469" t="s">
        <v>768</v>
      </c>
      <c r="J526" s="471">
        <v>0</v>
      </c>
      <c r="K526" s="471">
        <v>0</v>
      </c>
      <c r="L526" s="471">
        <v>15.2</v>
      </c>
      <c r="M526" s="471">
        <v>154.4</v>
      </c>
      <c r="N526" s="471">
        <v>154.4</v>
      </c>
      <c r="O526" s="471">
        <v>154.4</v>
      </c>
      <c r="P526" s="567"/>
    </row>
    <row r="527" spans="1:16" ht="29.4" customHeight="1" x14ac:dyDescent="0.3">
      <c r="A527" s="561"/>
      <c r="B527" s="570"/>
      <c r="C527" s="500"/>
      <c r="D527" s="513"/>
      <c r="E527" s="473"/>
      <c r="F527" s="469" t="s">
        <v>114</v>
      </c>
      <c r="G527" s="470" t="s">
        <v>114</v>
      </c>
      <c r="H527" s="469" t="s">
        <v>873</v>
      </c>
      <c r="I527" s="469" t="s">
        <v>33</v>
      </c>
      <c r="J527" s="471">
        <v>16</v>
      </c>
      <c r="K527" s="471">
        <v>16</v>
      </c>
      <c r="L527" s="471">
        <v>0</v>
      </c>
      <c r="M527" s="471">
        <v>0</v>
      </c>
      <c r="N527" s="471">
        <v>0</v>
      </c>
      <c r="O527" s="471">
        <v>0</v>
      </c>
      <c r="P527" s="567"/>
    </row>
    <row r="528" spans="1:16" ht="15.6" customHeight="1" x14ac:dyDescent="0.25">
      <c r="A528" s="561"/>
      <c r="B528" s="571"/>
      <c r="C528" s="572" t="s">
        <v>874</v>
      </c>
      <c r="D528" s="573"/>
      <c r="E528" s="574"/>
      <c r="F528" s="469"/>
      <c r="G528" s="470"/>
      <c r="H528" s="575"/>
      <c r="I528" s="575"/>
      <c r="J528" s="550">
        <f>SUM(J529:J538)</f>
        <v>121276.19999999998</v>
      </c>
      <c r="K528" s="550">
        <f t="shared" ref="K528:O528" si="112">SUM(K529:K538)</f>
        <v>116718.80000000002</v>
      </c>
      <c r="L528" s="550">
        <f t="shared" si="112"/>
        <v>116538.00000000001</v>
      </c>
      <c r="M528" s="550">
        <f t="shared" si="112"/>
        <v>122949.4</v>
      </c>
      <c r="N528" s="550">
        <f t="shared" si="112"/>
        <v>126882.70000000001</v>
      </c>
      <c r="O528" s="550">
        <f t="shared" si="112"/>
        <v>129519.40000000001</v>
      </c>
    </row>
    <row r="529" spans="1:16" ht="15.6" customHeight="1" x14ac:dyDescent="0.25">
      <c r="A529" s="561"/>
      <c r="B529" s="542" t="s">
        <v>875</v>
      </c>
      <c r="C529" s="499" t="s">
        <v>871</v>
      </c>
      <c r="D529" s="489" t="s">
        <v>105</v>
      </c>
      <c r="E529" s="490" t="s">
        <v>872</v>
      </c>
      <c r="F529" s="469" t="s">
        <v>220</v>
      </c>
      <c r="G529" s="470" t="s">
        <v>73</v>
      </c>
      <c r="H529" s="470" t="s">
        <v>876</v>
      </c>
      <c r="I529" s="470" t="s">
        <v>33</v>
      </c>
      <c r="J529" s="555">
        <v>570</v>
      </c>
      <c r="K529" s="555">
        <v>559</v>
      </c>
      <c r="L529" s="555">
        <v>626</v>
      </c>
      <c r="M529" s="555">
        <v>627.20000000000005</v>
      </c>
      <c r="N529" s="555">
        <v>652.29999999999995</v>
      </c>
      <c r="O529" s="555">
        <v>678.4</v>
      </c>
    </row>
    <row r="530" spans="1:16" ht="15.6" customHeight="1" x14ac:dyDescent="0.25">
      <c r="A530" s="561"/>
      <c r="B530" s="542"/>
      <c r="C530" s="527"/>
      <c r="D530" s="495"/>
      <c r="E530" s="493"/>
      <c r="F530" s="469" t="s">
        <v>220</v>
      </c>
      <c r="G530" s="470" t="s">
        <v>73</v>
      </c>
      <c r="H530" s="470" t="s">
        <v>876</v>
      </c>
      <c r="I530" s="470" t="s">
        <v>374</v>
      </c>
      <c r="J530" s="555">
        <f>39303.6+20347.5</f>
        <v>59651.1</v>
      </c>
      <c r="K530" s="555">
        <f>35860.3+19681.8</f>
        <v>55542.100000000006</v>
      </c>
      <c r="L530" s="555">
        <f>37924.9+21780</f>
        <v>59704.9</v>
      </c>
      <c r="M530" s="555">
        <v>62406.8</v>
      </c>
      <c r="N530" s="555">
        <v>64904.4</v>
      </c>
      <c r="O530" s="555">
        <v>67500.5</v>
      </c>
    </row>
    <row r="531" spans="1:16" ht="15.6" customHeight="1" x14ac:dyDescent="0.25">
      <c r="A531" s="561"/>
      <c r="B531" s="542" t="s">
        <v>877</v>
      </c>
      <c r="C531" s="527"/>
      <c r="D531" s="489" t="s">
        <v>105</v>
      </c>
      <c r="E531" s="493"/>
      <c r="F531" s="469" t="s">
        <v>220</v>
      </c>
      <c r="G531" s="470" t="s">
        <v>73</v>
      </c>
      <c r="H531" s="470" t="s">
        <v>878</v>
      </c>
      <c r="I531" s="470" t="s">
        <v>33</v>
      </c>
      <c r="J531" s="555">
        <v>519.5</v>
      </c>
      <c r="K531" s="555">
        <v>320.3</v>
      </c>
      <c r="L531" s="555">
        <v>273.5</v>
      </c>
      <c r="M531" s="555">
        <v>466.8</v>
      </c>
      <c r="N531" s="555">
        <v>480.7</v>
      </c>
      <c r="O531" s="555">
        <v>480.7</v>
      </c>
    </row>
    <row r="532" spans="1:16" ht="15.6" customHeight="1" x14ac:dyDescent="0.25">
      <c r="A532" s="561"/>
      <c r="B532" s="542"/>
      <c r="C532" s="527"/>
      <c r="D532" s="495"/>
      <c r="E532" s="496"/>
      <c r="F532" s="469" t="s">
        <v>220</v>
      </c>
      <c r="G532" s="470" t="s">
        <v>73</v>
      </c>
      <c r="H532" s="470" t="s">
        <v>878</v>
      </c>
      <c r="I532" s="470" t="s">
        <v>879</v>
      </c>
      <c r="J532" s="555">
        <v>47915.199999999997</v>
      </c>
      <c r="K532" s="555">
        <v>47759.8</v>
      </c>
      <c r="L532" s="555">
        <v>41439</v>
      </c>
      <c r="M532" s="555">
        <v>46218.5</v>
      </c>
      <c r="N532" s="555">
        <v>47590.3</v>
      </c>
      <c r="O532" s="555">
        <v>47590.3</v>
      </c>
    </row>
    <row r="533" spans="1:16" ht="45.75" customHeight="1" x14ac:dyDescent="0.25">
      <c r="A533" s="561"/>
      <c r="B533" s="542" t="s">
        <v>880</v>
      </c>
      <c r="C533" s="499" t="s">
        <v>853</v>
      </c>
      <c r="D533" s="576"/>
      <c r="E533" s="576"/>
      <c r="F533" s="469" t="s">
        <v>220</v>
      </c>
      <c r="G533" s="470" t="s">
        <v>73</v>
      </c>
      <c r="H533" s="470" t="s">
        <v>881</v>
      </c>
      <c r="I533" s="470" t="s">
        <v>33</v>
      </c>
      <c r="J533" s="555">
        <v>0</v>
      </c>
      <c r="K533" s="555">
        <v>0</v>
      </c>
      <c r="L533" s="555">
        <v>7.6</v>
      </c>
      <c r="M533" s="555">
        <v>125.5</v>
      </c>
      <c r="N533" s="555">
        <v>125.1</v>
      </c>
      <c r="O533" s="555">
        <v>125.1</v>
      </c>
    </row>
    <row r="534" spans="1:16" ht="45.75" customHeight="1" x14ac:dyDescent="0.25">
      <c r="A534" s="561"/>
      <c r="B534" s="542"/>
      <c r="C534" s="500"/>
      <c r="D534" s="576"/>
      <c r="E534" s="576"/>
      <c r="F534" s="469" t="s">
        <v>220</v>
      </c>
      <c r="G534" s="470" t="s">
        <v>73</v>
      </c>
      <c r="H534" s="470" t="s">
        <v>881</v>
      </c>
      <c r="I534" s="470" t="s">
        <v>491</v>
      </c>
      <c r="J534" s="555">
        <v>12016.2</v>
      </c>
      <c r="K534" s="555">
        <v>12015</v>
      </c>
      <c r="L534" s="555">
        <v>12394.6</v>
      </c>
      <c r="M534" s="555">
        <v>12387.5</v>
      </c>
      <c r="N534" s="555">
        <v>12387.9</v>
      </c>
      <c r="O534" s="555">
        <v>12387.9</v>
      </c>
    </row>
    <row r="535" spans="1:16" ht="15.6" customHeight="1" x14ac:dyDescent="0.25">
      <c r="A535" s="561"/>
      <c r="B535" s="542" t="s">
        <v>882</v>
      </c>
      <c r="C535" s="499" t="s">
        <v>871</v>
      </c>
      <c r="D535" s="489" t="s">
        <v>105</v>
      </c>
      <c r="E535" s="490" t="s">
        <v>872</v>
      </c>
      <c r="F535" s="469" t="s">
        <v>220</v>
      </c>
      <c r="G535" s="470" t="s">
        <v>73</v>
      </c>
      <c r="H535" s="470" t="s">
        <v>883</v>
      </c>
      <c r="I535" s="470" t="s">
        <v>33</v>
      </c>
      <c r="J535" s="555">
        <v>2.1</v>
      </c>
      <c r="K535" s="555">
        <v>2.1</v>
      </c>
      <c r="L535" s="555">
        <v>16</v>
      </c>
      <c r="M535" s="555">
        <v>0</v>
      </c>
      <c r="N535" s="555">
        <v>0</v>
      </c>
      <c r="O535" s="555">
        <v>0</v>
      </c>
    </row>
    <row r="536" spans="1:16" ht="15.6" customHeight="1" x14ac:dyDescent="0.25">
      <c r="A536" s="561"/>
      <c r="B536" s="542"/>
      <c r="C536" s="527"/>
      <c r="D536" s="495"/>
      <c r="E536" s="496"/>
      <c r="F536" s="469" t="s">
        <v>220</v>
      </c>
      <c r="G536" s="470" t="s">
        <v>73</v>
      </c>
      <c r="H536" s="470" t="s">
        <v>883</v>
      </c>
      <c r="I536" s="470" t="s">
        <v>374</v>
      </c>
      <c r="J536" s="555">
        <v>298.89999999999998</v>
      </c>
      <c r="K536" s="555">
        <v>298.89999999999998</v>
      </c>
      <c r="L536" s="555">
        <v>787.3</v>
      </c>
      <c r="M536" s="555">
        <v>348.2</v>
      </c>
      <c r="N536" s="555">
        <v>362.1</v>
      </c>
      <c r="O536" s="555">
        <v>376.6</v>
      </c>
    </row>
    <row r="537" spans="1:16" ht="15.6" customHeight="1" x14ac:dyDescent="0.25">
      <c r="A537" s="561"/>
      <c r="B537" s="460" t="s">
        <v>884</v>
      </c>
      <c r="C537" s="527"/>
      <c r="D537" s="489" t="s">
        <v>105</v>
      </c>
      <c r="E537" s="490" t="s">
        <v>872</v>
      </c>
      <c r="F537" s="469" t="s">
        <v>220</v>
      </c>
      <c r="G537" s="470" t="s">
        <v>73</v>
      </c>
      <c r="H537" s="470" t="s">
        <v>885</v>
      </c>
      <c r="I537" s="470" t="s">
        <v>33</v>
      </c>
      <c r="J537" s="555">
        <v>20.7</v>
      </c>
      <c r="K537" s="555">
        <v>1.6</v>
      </c>
      <c r="L537" s="555">
        <v>12.8</v>
      </c>
      <c r="M537" s="555">
        <v>3.7</v>
      </c>
      <c r="N537" s="555">
        <v>3.8</v>
      </c>
      <c r="O537" s="555">
        <v>3.8</v>
      </c>
    </row>
    <row r="538" spans="1:16" ht="32.25" customHeight="1" x14ac:dyDescent="0.25">
      <c r="A538" s="577"/>
      <c r="B538" s="538"/>
      <c r="C538" s="527"/>
      <c r="D538" s="495"/>
      <c r="E538" s="496"/>
      <c r="F538" s="469" t="s">
        <v>220</v>
      </c>
      <c r="G538" s="470" t="s">
        <v>73</v>
      </c>
      <c r="H538" s="470" t="s">
        <v>885</v>
      </c>
      <c r="I538" s="470" t="s">
        <v>879</v>
      </c>
      <c r="J538" s="555">
        <v>282.5</v>
      </c>
      <c r="K538" s="555">
        <v>220</v>
      </c>
      <c r="L538" s="555">
        <v>1276.3</v>
      </c>
      <c r="M538" s="555">
        <v>365.2</v>
      </c>
      <c r="N538" s="555">
        <v>376.1</v>
      </c>
      <c r="O538" s="555">
        <v>376.1</v>
      </c>
    </row>
    <row r="539" spans="1:16" s="589" customFormat="1" ht="30.75" customHeight="1" x14ac:dyDescent="0.3">
      <c r="A539" s="630">
        <v>926</v>
      </c>
      <c r="B539" s="631" t="s">
        <v>918</v>
      </c>
      <c r="C539" s="632"/>
      <c r="D539" s="632"/>
      <c r="E539" s="632"/>
      <c r="F539" s="632"/>
      <c r="G539" s="632"/>
      <c r="H539" s="633"/>
      <c r="I539" s="587"/>
      <c r="J539" s="590">
        <f t="shared" ref="J539:O539" si="113">J540+J551</f>
        <v>132565</v>
      </c>
      <c r="K539" s="590">
        <f t="shared" si="113"/>
        <v>132565</v>
      </c>
      <c r="L539" s="590">
        <f t="shared" si="113"/>
        <v>142326.5</v>
      </c>
      <c r="M539" s="590">
        <f t="shared" si="113"/>
        <v>158172</v>
      </c>
      <c r="N539" s="590">
        <f t="shared" si="113"/>
        <v>145763.59999999998</v>
      </c>
      <c r="O539" s="590">
        <f t="shared" si="113"/>
        <v>160976.60000000003</v>
      </c>
      <c r="P539" s="588"/>
    </row>
    <row r="540" spans="1:16" s="589" customFormat="1" ht="24" customHeight="1" x14ac:dyDescent="0.3">
      <c r="A540" s="655"/>
      <c r="B540" s="647" t="s">
        <v>888</v>
      </c>
      <c r="C540" s="656"/>
      <c r="D540" s="656"/>
      <c r="E540" s="657"/>
      <c r="F540" s="658" t="s">
        <v>889</v>
      </c>
      <c r="G540" s="659"/>
      <c r="H540" s="656"/>
      <c r="I540" s="657"/>
      <c r="J540" s="660">
        <f t="shared" ref="J540:O540" si="114">J541+J546+J548</f>
        <v>54920.5</v>
      </c>
      <c r="K540" s="660">
        <f t="shared" si="114"/>
        <v>54920.5</v>
      </c>
      <c r="L540" s="660">
        <f t="shared" si="114"/>
        <v>73834.7</v>
      </c>
      <c r="M540" s="660">
        <f t="shared" si="114"/>
        <v>85333.6</v>
      </c>
      <c r="N540" s="660">
        <f t="shared" si="114"/>
        <v>67670.399999999994</v>
      </c>
      <c r="O540" s="660">
        <f t="shared" si="114"/>
        <v>78011.700000000012</v>
      </c>
    </row>
    <row r="541" spans="1:16" s="589" customFormat="1" ht="14.4" x14ac:dyDescent="0.3">
      <c r="A541" s="655">
        <v>926</v>
      </c>
      <c r="B541" s="661"/>
      <c r="C541" s="656"/>
      <c r="D541" s="656"/>
      <c r="E541" s="657"/>
      <c r="F541" s="662" t="s">
        <v>114</v>
      </c>
      <c r="G541" s="662" t="s">
        <v>21</v>
      </c>
      <c r="H541" s="657"/>
      <c r="I541" s="657"/>
      <c r="J541" s="660">
        <f t="shared" ref="J541:O541" si="115">J542+J543+J545+J544</f>
        <v>54534.5</v>
      </c>
      <c r="K541" s="660">
        <f t="shared" si="115"/>
        <v>54534.5</v>
      </c>
      <c r="L541" s="660">
        <f t="shared" si="115"/>
        <v>73401.8</v>
      </c>
      <c r="M541" s="660">
        <f t="shared" si="115"/>
        <v>84947.6</v>
      </c>
      <c r="N541" s="660">
        <f t="shared" si="115"/>
        <v>67284.399999999994</v>
      </c>
      <c r="O541" s="660">
        <f t="shared" si="115"/>
        <v>77625.700000000012</v>
      </c>
    </row>
    <row r="542" spans="1:16" s="597" customFormat="1" ht="58.8" customHeight="1" x14ac:dyDescent="0.35">
      <c r="A542" s="591"/>
      <c r="B542" s="592"/>
      <c r="C542" s="593" t="s">
        <v>890</v>
      </c>
      <c r="D542" s="594"/>
      <c r="E542" s="594"/>
      <c r="F542" s="595" t="s">
        <v>114</v>
      </c>
      <c r="G542" s="595" t="s">
        <v>21</v>
      </c>
      <c r="H542" s="595" t="s">
        <v>891</v>
      </c>
      <c r="I542" s="595" t="s">
        <v>761</v>
      </c>
      <c r="J542" s="596">
        <v>54018.5</v>
      </c>
      <c r="K542" s="596">
        <v>54018.5</v>
      </c>
      <c r="L542" s="596">
        <v>64023.5</v>
      </c>
      <c r="M542" s="596">
        <v>75778.600000000006</v>
      </c>
      <c r="N542" s="596">
        <v>66779.5</v>
      </c>
      <c r="O542" s="596">
        <v>77100.600000000006</v>
      </c>
    </row>
    <row r="543" spans="1:16" s="597" customFormat="1" ht="25.2" customHeight="1" x14ac:dyDescent="0.3">
      <c r="A543" s="591"/>
      <c r="B543" s="598"/>
      <c r="C543" s="599" t="s">
        <v>892</v>
      </c>
      <c r="D543" s="600"/>
      <c r="E543" s="600"/>
      <c r="F543" s="601" t="s">
        <v>114</v>
      </c>
      <c r="G543" s="595" t="s">
        <v>21</v>
      </c>
      <c r="H543" s="602" t="s">
        <v>893</v>
      </c>
      <c r="I543" s="601" t="s">
        <v>768</v>
      </c>
      <c r="J543" s="596">
        <v>0</v>
      </c>
      <c r="K543" s="596">
        <v>0</v>
      </c>
      <c r="L543" s="596">
        <v>1192.4000000000001</v>
      </c>
      <c r="M543" s="596">
        <v>781.5</v>
      </c>
      <c r="N543" s="596">
        <v>0</v>
      </c>
      <c r="O543" s="596">
        <v>0</v>
      </c>
    </row>
    <row r="544" spans="1:16" s="597" customFormat="1" ht="25.2" customHeight="1" x14ac:dyDescent="0.3">
      <c r="A544" s="591"/>
      <c r="B544" s="598"/>
      <c r="C544" s="603"/>
      <c r="D544" s="600"/>
      <c r="E544" s="600"/>
      <c r="F544" s="601" t="s">
        <v>114</v>
      </c>
      <c r="G544" s="595" t="s">
        <v>21</v>
      </c>
      <c r="H544" s="602" t="s">
        <v>893</v>
      </c>
      <c r="I544" s="601" t="s">
        <v>768</v>
      </c>
      <c r="J544" s="596">
        <v>0</v>
      </c>
      <c r="K544" s="596">
        <v>0</v>
      </c>
      <c r="L544" s="596">
        <v>7325</v>
      </c>
      <c r="M544" s="596">
        <v>7902.1</v>
      </c>
      <c r="N544" s="596">
        <v>0</v>
      </c>
      <c r="O544" s="596">
        <v>0</v>
      </c>
    </row>
    <row r="545" spans="1:15" s="597" customFormat="1" ht="82.2" customHeight="1" x14ac:dyDescent="0.3">
      <c r="A545" s="591"/>
      <c r="B545" s="598"/>
      <c r="C545" s="604" t="s">
        <v>894</v>
      </c>
      <c r="D545" s="600"/>
      <c r="E545" s="600"/>
      <c r="F545" s="601" t="s">
        <v>114</v>
      </c>
      <c r="G545" s="595" t="s">
        <v>21</v>
      </c>
      <c r="H545" s="602" t="s">
        <v>895</v>
      </c>
      <c r="I545" s="601" t="s">
        <v>768</v>
      </c>
      <c r="J545" s="596">
        <v>516</v>
      </c>
      <c r="K545" s="596">
        <v>516</v>
      </c>
      <c r="L545" s="596">
        <v>860.9</v>
      </c>
      <c r="M545" s="596">
        <v>485.4</v>
      </c>
      <c r="N545" s="596">
        <v>504.9</v>
      </c>
      <c r="O545" s="596">
        <v>525.1</v>
      </c>
    </row>
    <row r="546" spans="1:15" s="597" customFormat="1" ht="18" x14ac:dyDescent="0.35">
      <c r="A546" s="591"/>
      <c r="B546" s="634"/>
      <c r="C546" s="635"/>
      <c r="D546" s="635"/>
      <c r="E546" s="636"/>
      <c r="F546" s="637" t="s">
        <v>114</v>
      </c>
      <c r="G546" s="637" t="s">
        <v>115</v>
      </c>
      <c r="H546" s="638"/>
      <c r="I546" s="638"/>
      <c r="J546" s="639">
        <f t="shared" ref="J546:O546" si="116">J547</f>
        <v>242</v>
      </c>
      <c r="K546" s="639">
        <f t="shared" si="116"/>
        <v>242</v>
      </c>
      <c r="L546" s="639">
        <f t="shared" si="116"/>
        <v>300.89999999999998</v>
      </c>
      <c r="M546" s="639">
        <f t="shared" si="116"/>
        <v>242</v>
      </c>
      <c r="N546" s="639">
        <f t="shared" si="116"/>
        <v>242</v>
      </c>
      <c r="O546" s="639">
        <f t="shared" si="116"/>
        <v>242</v>
      </c>
    </row>
    <row r="547" spans="1:15" s="597" customFormat="1" ht="41.4" customHeight="1" x14ac:dyDescent="0.25">
      <c r="A547" s="640"/>
      <c r="B547" s="641"/>
      <c r="C547" s="642" t="s">
        <v>896</v>
      </c>
      <c r="D547" s="643"/>
      <c r="E547" s="640"/>
      <c r="F547" s="644" t="s">
        <v>114</v>
      </c>
      <c r="G547" s="644" t="s">
        <v>114</v>
      </c>
      <c r="H547" s="576" t="s">
        <v>842</v>
      </c>
      <c r="I547" s="640">
        <v>612</v>
      </c>
      <c r="J547" s="607">
        <v>242</v>
      </c>
      <c r="K547" s="607">
        <v>242</v>
      </c>
      <c r="L547" s="607">
        <v>300.89999999999998</v>
      </c>
      <c r="M547" s="607">
        <v>242</v>
      </c>
      <c r="N547" s="607">
        <v>242</v>
      </c>
      <c r="O547" s="607">
        <v>242</v>
      </c>
    </row>
    <row r="548" spans="1:15" s="597" customFormat="1" ht="21.75" customHeight="1" x14ac:dyDescent="0.3">
      <c r="A548" s="640"/>
      <c r="B548" s="641"/>
      <c r="C548" s="645"/>
      <c r="D548" s="643"/>
      <c r="E548" s="640"/>
      <c r="F548" s="637" t="s">
        <v>114</v>
      </c>
      <c r="G548" s="637" t="s">
        <v>115</v>
      </c>
      <c r="H548" s="576"/>
      <c r="I548" s="640"/>
      <c r="J548" s="639">
        <f t="shared" ref="J548:O548" si="117">J549</f>
        <v>144</v>
      </c>
      <c r="K548" s="639">
        <f t="shared" si="117"/>
        <v>144</v>
      </c>
      <c r="L548" s="639">
        <f t="shared" si="117"/>
        <v>132</v>
      </c>
      <c r="M548" s="639">
        <f t="shared" si="117"/>
        <v>144</v>
      </c>
      <c r="N548" s="639">
        <f t="shared" si="117"/>
        <v>144</v>
      </c>
      <c r="O548" s="639">
        <f t="shared" si="117"/>
        <v>144</v>
      </c>
    </row>
    <row r="549" spans="1:15" s="597" customFormat="1" ht="46.8" customHeight="1" x14ac:dyDescent="0.25">
      <c r="A549" s="640"/>
      <c r="B549" s="641"/>
      <c r="C549" s="606" t="s">
        <v>897</v>
      </c>
      <c r="D549" s="643"/>
      <c r="E549" s="640"/>
      <c r="F549" s="644" t="s">
        <v>114</v>
      </c>
      <c r="G549" s="644" t="s">
        <v>115</v>
      </c>
      <c r="H549" s="576" t="s">
        <v>898</v>
      </c>
      <c r="I549" s="640">
        <v>612</v>
      </c>
      <c r="J549" s="607">
        <v>144</v>
      </c>
      <c r="K549" s="607">
        <v>144</v>
      </c>
      <c r="L549" s="607">
        <v>132</v>
      </c>
      <c r="M549" s="607">
        <v>144</v>
      </c>
      <c r="N549" s="607">
        <v>144</v>
      </c>
      <c r="O549" s="607">
        <v>144</v>
      </c>
    </row>
    <row r="550" spans="1:15" s="19" customFormat="1" ht="18" customHeight="1" x14ac:dyDescent="0.35">
      <c r="A550" s="646" t="s">
        <v>899</v>
      </c>
      <c r="B550" s="646"/>
      <c r="C550" s="646"/>
      <c r="D550" s="646"/>
      <c r="E550" s="646"/>
      <c r="F550" s="646"/>
      <c r="G550" s="646"/>
      <c r="H550" s="646"/>
      <c r="I550" s="646"/>
      <c r="J550" s="646"/>
      <c r="K550" s="646"/>
      <c r="L550" s="646"/>
      <c r="M550" s="646"/>
      <c r="N550" s="646"/>
      <c r="O550" s="646"/>
    </row>
    <row r="551" spans="1:15" s="608" customFormat="1" ht="30.6" customHeight="1" x14ac:dyDescent="0.3">
      <c r="A551" s="578"/>
      <c r="B551" s="647" t="s">
        <v>888</v>
      </c>
      <c r="C551" s="578"/>
      <c r="D551" s="578"/>
      <c r="E551" s="578"/>
      <c r="F551" s="648" t="s">
        <v>132</v>
      </c>
      <c r="G551" s="578"/>
      <c r="H551" s="578"/>
      <c r="I551" s="578"/>
      <c r="J551" s="649">
        <f t="shared" ref="J551:O551" si="118">J552+J567</f>
        <v>77644.500000000015</v>
      </c>
      <c r="K551" s="649">
        <f t="shared" si="118"/>
        <v>77644.500000000015</v>
      </c>
      <c r="L551" s="649">
        <f t="shared" si="118"/>
        <v>68491.8</v>
      </c>
      <c r="M551" s="649">
        <f t="shared" si="118"/>
        <v>72838.399999999994</v>
      </c>
      <c r="N551" s="649">
        <f t="shared" si="118"/>
        <v>78093.2</v>
      </c>
      <c r="O551" s="649">
        <f t="shared" si="118"/>
        <v>82964.900000000009</v>
      </c>
    </row>
    <row r="552" spans="1:15" s="609" customFormat="1" ht="14.4" x14ac:dyDescent="0.3">
      <c r="A552" s="650">
        <v>926</v>
      </c>
      <c r="B552" s="651"/>
      <c r="C552" s="652"/>
      <c r="D552" s="652"/>
      <c r="E552" s="652"/>
      <c r="F552" s="653" t="s">
        <v>132</v>
      </c>
      <c r="G552" s="653" t="s">
        <v>20</v>
      </c>
      <c r="H552" s="652"/>
      <c r="I552" s="652"/>
      <c r="J552" s="654">
        <f>J553+J554+J555+J560+J558+J556+J559+J557+J561+J562+J565+J564+J563</f>
        <v>73043.200000000012</v>
      </c>
      <c r="K552" s="654">
        <f>K553+K554+K555+K560+K558+K556+K559+K557+K561+K562+K565+K564+K563</f>
        <v>73043.200000000012</v>
      </c>
      <c r="L552" s="654">
        <f>L553+L554+L555+L560+L558+L556+L559+L557+L561+L562+L565+L564+L563+L566</f>
        <v>62934.400000000001</v>
      </c>
      <c r="M552" s="654">
        <f>M553+M554+M555+M560+M558+M556+M559+M557+M561+M562+M565+M564+M563+M566</f>
        <v>66390.299999999988</v>
      </c>
      <c r="N552" s="654">
        <f>N553+N554+N555+N560+N558+N556+N559+N557+N561+N562+N565+N564+N563+N566</f>
        <v>70679.599999999991</v>
      </c>
      <c r="O552" s="654">
        <f>O553+O554+O555+O560+O558+O556+O559+O557+O561+O562+O565+O564+O563+O566</f>
        <v>75055.600000000006</v>
      </c>
    </row>
    <row r="553" spans="1:15" s="612" customFormat="1" ht="42.6" customHeight="1" x14ac:dyDescent="0.35">
      <c r="A553" s="610"/>
      <c r="B553" s="592"/>
      <c r="C553" s="611" t="s">
        <v>900</v>
      </c>
      <c r="D553" s="594"/>
      <c r="E553" s="594"/>
      <c r="F553" s="595" t="s">
        <v>132</v>
      </c>
      <c r="G553" s="595" t="s">
        <v>20</v>
      </c>
      <c r="H553" s="595" t="s">
        <v>901</v>
      </c>
      <c r="I553" s="595" t="s">
        <v>761</v>
      </c>
      <c r="J553" s="596">
        <v>24513.7</v>
      </c>
      <c r="K553" s="596">
        <v>24513.7</v>
      </c>
      <c r="L553" s="596">
        <v>29235.9</v>
      </c>
      <c r="M553" s="596">
        <v>33913.5</v>
      </c>
      <c r="N553" s="596">
        <v>36584.199999999997</v>
      </c>
      <c r="O553" s="596">
        <v>38914.199999999997</v>
      </c>
    </row>
    <row r="554" spans="1:15" ht="37.799999999999997" customHeight="1" x14ac:dyDescent="0.35">
      <c r="A554" s="610"/>
      <c r="B554" s="613"/>
      <c r="C554" s="611"/>
      <c r="D554" s="594"/>
      <c r="E554" s="594"/>
      <c r="F554" s="595" t="s">
        <v>132</v>
      </c>
      <c r="G554" s="595" t="s">
        <v>20</v>
      </c>
      <c r="H554" s="595" t="s">
        <v>902</v>
      </c>
      <c r="I554" s="595" t="s">
        <v>761</v>
      </c>
      <c r="J554" s="614">
        <v>19235.099999999999</v>
      </c>
      <c r="K554" s="614">
        <v>19235.099999999999</v>
      </c>
      <c r="L554" s="614">
        <v>19799.5</v>
      </c>
      <c r="M554" s="596">
        <v>24669.9</v>
      </c>
      <c r="N554" s="596">
        <v>26772.400000000001</v>
      </c>
      <c r="O554" s="596">
        <v>28438.9</v>
      </c>
    </row>
    <row r="555" spans="1:15" ht="27.75" customHeight="1" x14ac:dyDescent="0.35">
      <c r="A555" s="610"/>
      <c r="B555" s="598"/>
      <c r="C555" s="615" t="s">
        <v>903</v>
      </c>
      <c r="D555" s="594"/>
      <c r="E555" s="594"/>
      <c r="F555" s="595" t="s">
        <v>132</v>
      </c>
      <c r="G555" s="595" t="s">
        <v>20</v>
      </c>
      <c r="H555" s="595" t="s">
        <v>904</v>
      </c>
      <c r="I555" s="595" t="s">
        <v>768</v>
      </c>
      <c r="J555" s="596">
        <v>27728.799999999999</v>
      </c>
      <c r="K555" s="596">
        <v>27728.799999999999</v>
      </c>
      <c r="L555" s="596">
        <v>11540.3</v>
      </c>
      <c r="M555" s="596">
        <v>6076</v>
      </c>
      <c r="N555" s="596">
        <v>5591.3</v>
      </c>
      <c r="O555" s="596">
        <v>5954.5</v>
      </c>
    </row>
    <row r="556" spans="1:15" ht="27.75" customHeight="1" x14ac:dyDescent="0.25">
      <c r="A556" s="610"/>
      <c r="B556" s="598"/>
      <c r="C556" s="615"/>
      <c r="D556" s="616"/>
      <c r="E556" s="616"/>
      <c r="F556" s="617" t="s">
        <v>132</v>
      </c>
      <c r="G556" s="617" t="s">
        <v>20</v>
      </c>
      <c r="H556" s="595" t="s">
        <v>905</v>
      </c>
      <c r="I556" s="576" t="s">
        <v>768</v>
      </c>
      <c r="J556" s="614">
        <v>522.79999999999995</v>
      </c>
      <c r="K556" s="614">
        <v>522.79999999999995</v>
      </c>
      <c r="L556" s="614">
        <v>600</v>
      </c>
      <c r="M556" s="614">
        <v>625.70000000000005</v>
      </c>
      <c r="N556" s="596">
        <v>625.70000000000005</v>
      </c>
      <c r="O556" s="596">
        <v>625.70000000000005</v>
      </c>
    </row>
    <row r="557" spans="1:15" ht="27.75" hidden="1" customHeight="1" x14ac:dyDescent="0.25">
      <c r="A557" s="610"/>
      <c r="B557" s="598"/>
      <c r="C557" s="615"/>
      <c r="D557" s="616"/>
      <c r="E557" s="616"/>
      <c r="F557" s="617" t="s">
        <v>132</v>
      </c>
      <c r="G557" s="617" t="s">
        <v>20</v>
      </c>
      <c r="H557" s="595" t="s">
        <v>906</v>
      </c>
      <c r="I557" s="617" t="s">
        <v>768</v>
      </c>
      <c r="J557" s="614">
        <v>0</v>
      </c>
      <c r="K557" s="614">
        <v>0</v>
      </c>
      <c r="L557" s="614">
        <v>0</v>
      </c>
      <c r="M557" s="614">
        <v>0</v>
      </c>
      <c r="N557" s="596">
        <v>0</v>
      </c>
      <c r="O557" s="596">
        <f t="shared" ref="O557:O566" si="119">N557</f>
        <v>0</v>
      </c>
    </row>
    <row r="558" spans="1:15" ht="38.4" customHeight="1" x14ac:dyDescent="0.25">
      <c r="A558" s="610"/>
      <c r="B558" s="598"/>
      <c r="C558" s="606" t="s">
        <v>897</v>
      </c>
      <c r="D558" s="616"/>
      <c r="E558" s="616"/>
      <c r="F558" s="617" t="s">
        <v>132</v>
      </c>
      <c r="G558" s="617" t="s">
        <v>20</v>
      </c>
      <c r="H558" s="595" t="s">
        <v>898</v>
      </c>
      <c r="I558" s="576" t="s">
        <v>768</v>
      </c>
      <c r="J558" s="614">
        <v>36</v>
      </c>
      <c r="K558" s="614">
        <v>36</v>
      </c>
      <c r="L558" s="614">
        <v>48</v>
      </c>
      <c r="M558" s="614">
        <v>48</v>
      </c>
      <c r="N558" s="596">
        <v>48</v>
      </c>
      <c r="O558" s="596">
        <f t="shared" si="119"/>
        <v>48</v>
      </c>
    </row>
    <row r="559" spans="1:15" ht="36.6" customHeight="1" x14ac:dyDescent="0.25">
      <c r="A559" s="610"/>
      <c r="B559" s="598"/>
      <c r="C559" s="618" t="s">
        <v>907</v>
      </c>
      <c r="D559" s="616"/>
      <c r="E559" s="616"/>
      <c r="F559" s="617" t="s">
        <v>132</v>
      </c>
      <c r="G559" s="617" t="s">
        <v>20</v>
      </c>
      <c r="H559" s="595" t="s">
        <v>836</v>
      </c>
      <c r="I559" s="576" t="s">
        <v>768</v>
      </c>
      <c r="J559" s="614">
        <v>56.5</v>
      </c>
      <c r="K559" s="614">
        <v>56.5</v>
      </c>
      <c r="L559" s="614">
        <v>252.4</v>
      </c>
      <c r="M559" s="614">
        <v>265</v>
      </c>
      <c r="N559" s="596">
        <v>265</v>
      </c>
      <c r="O559" s="596">
        <f t="shared" si="119"/>
        <v>265</v>
      </c>
    </row>
    <row r="560" spans="1:15" ht="40.5" customHeight="1" x14ac:dyDescent="0.35">
      <c r="A560" s="610"/>
      <c r="B560" s="598"/>
      <c r="C560" s="605" t="s">
        <v>896</v>
      </c>
      <c r="D560" s="594"/>
      <c r="E560" s="594"/>
      <c r="F560" s="595" t="s">
        <v>132</v>
      </c>
      <c r="G560" s="595" t="s">
        <v>20</v>
      </c>
      <c r="H560" s="595" t="s">
        <v>908</v>
      </c>
      <c r="I560" s="595" t="s">
        <v>768</v>
      </c>
      <c r="J560" s="596">
        <v>15.6</v>
      </c>
      <c r="K560" s="596">
        <v>15.6</v>
      </c>
      <c r="L560" s="596">
        <v>40.200000000000003</v>
      </c>
      <c r="M560" s="596">
        <v>40.200000000000003</v>
      </c>
      <c r="N560" s="596">
        <v>40.200000000000003</v>
      </c>
      <c r="O560" s="596">
        <f t="shared" si="119"/>
        <v>40.200000000000003</v>
      </c>
    </row>
    <row r="561" spans="1:21" ht="39.6" customHeight="1" x14ac:dyDescent="0.25">
      <c r="A561" s="610"/>
      <c r="B561" s="598"/>
      <c r="C561" s="606" t="s">
        <v>909</v>
      </c>
      <c r="D561" s="616"/>
      <c r="E561" s="616"/>
      <c r="F561" s="617" t="s">
        <v>132</v>
      </c>
      <c r="G561" s="617" t="s">
        <v>20</v>
      </c>
      <c r="H561" s="595" t="s">
        <v>834</v>
      </c>
      <c r="I561" s="576" t="s">
        <v>768</v>
      </c>
      <c r="J561" s="614">
        <v>133</v>
      </c>
      <c r="K561" s="614">
        <v>133</v>
      </c>
      <c r="L561" s="614">
        <v>30.4</v>
      </c>
      <c r="M561" s="614">
        <v>133</v>
      </c>
      <c r="N561" s="596">
        <v>133</v>
      </c>
      <c r="O561" s="596">
        <f t="shared" si="119"/>
        <v>133</v>
      </c>
    </row>
    <row r="562" spans="1:21" ht="36" hidden="1" customHeight="1" x14ac:dyDescent="0.25">
      <c r="A562" s="610"/>
      <c r="B562" s="598"/>
      <c r="C562" s="619" t="s">
        <v>910</v>
      </c>
      <c r="D562" s="616"/>
      <c r="E562" s="616"/>
      <c r="F562" s="617" t="s">
        <v>132</v>
      </c>
      <c r="G562" s="617" t="s">
        <v>20</v>
      </c>
      <c r="H562" s="595" t="s">
        <v>911</v>
      </c>
      <c r="I562" s="576" t="s">
        <v>768</v>
      </c>
      <c r="J562" s="614">
        <v>0</v>
      </c>
      <c r="K562" s="614">
        <v>0</v>
      </c>
      <c r="L562" s="614">
        <v>0</v>
      </c>
      <c r="M562" s="614">
        <v>0</v>
      </c>
      <c r="N562" s="596">
        <v>0</v>
      </c>
      <c r="O562" s="596">
        <f t="shared" si="119"/>
        <v>0</v>
      </c>
    </row>
    <row r="563" spans="1:21" ht="42" hidden="1" customHeight="1" x14ac:dyDescent="0.25">
      <c r="A563" s="610"/>
      <c r="B563" s="598"/>
      <c r="C563" s="620" t="s">
        <v>912</v>
      </c>
      <c r="D563" s="616"/>
      <c r="E563" s="616"/>
      <c r="F563" s="617" t="s">
        <v>132</v>
      </c>
      <c r="G563" s="617" t="s">
        <v>20</v>
      </c>
      <c r="H563" s="595" t="s">
        <v>908</v>
      </c>
      <c r="I563" s="576" t="s">
        <v>768</v>
      </c>
      <c r="J563" s="614">
        <v>0</v>
      </c>
      <c r="K563" s="614">
        <v>0</v>
      </c>
      <c r="L563" s="614">
        <v>0</v>
      </c>
      <c r="M563" s="614">
        <v>0</v>
      </c>
      <c r="N563" s="596">
        <v>0</v>
      </c>
      <c r="O563" s="596">
        <f t="shared" si="119"/>
        <v>0</v>
      </c>
    </row>
    <row r="564" spans="1:21" ht="38.4" customHeight="1" x14ac:dyDescent="0.25">
      <c r="A564" s="610"/>
      <c r="B564" s="598"/>
      <c r="C564" s="621" t="s">
        <v>913</v>
      </c>
      <c r="D564" s="616"/>
      <c r="E564" s="616"/>
      <c r="F564" s="617" t="s">
        <v>132</v>
      </c>
      <c r="G564" s="617" t="s">
        <v>20</v>
      </c>
      <c r="H564" s="595" t="s">
        <v>914</v>
      </c>
      <c r="I564" s="576" t="s">
        <v>768</v>
      </c>
      <c r="J564" s="614">
        <v>112.2</v>
      </c>
      <c r="K564" s="614">
        <v>112.2</v>
      </c>
      <c r="L564" s="614">
        <v>110.3</v>
      </c>
      <c r="M564" s="614">
        <v>86.7</v>
      </c>
      <c r="N564" s="596">
        <v>86.8</v>
      </c>
      <c r="O564" s="596">
        <v>89.1</v>
      </c>
    </row>
    <row r="565" spans="1:21" ht="38.4" customHeight="1" x14ac:dyDescent="0.25">
      <c r="A565" s="610"/>
      <c r="B565" s="598"/>
      <c r="C565" s="622"/>
      <c r="D565" s="616"/>
      <c r="E565" s="616"/>
      <c r="F565" s="617" t="s">
        <v>132</v>
      </c>
      <c r="G565" s="617" t="s">
        <v>20</v>
      </c>
      <c r="H565" s="595" t="s">
        <v>915</v>
      </c>
      <c r="I565" s="576" t="s">
        <v>768</v>
      </c>
      <c r="J565" s="614">
        <v>689.5</v>
      </c>
      <c r="K565" s="614">
        <v>689.5</v>
      </c>
      <c r="L565" s="614">
        <v>677.4</v>
      </c>
      <c r="M565" s="614">
        <v>532.29999999999995</v>
      </c>
      <c r="N565" s="596">
        <v>533</v>
      </c>
      <c r="O565" s="596">
        <v>547</v>
      </c>
    </row>
    <row r="566" spans="1:21" ht="52.8" customHeight="1" x14ac:dyDescent="0.25">
      <c r="A566" s="610"/>
      <c r="B566" s="598"/>
      <c r="C566" s="623" t="s">
        <v>916</v>
      </c>
      <c r="D566" s="616"/>
      <c r="E566" s="616"/>
      <c r="F566" s="617" t="s">
        <v>132</v>
      </c>
      <c r="G566" s="617" t="s">
        <v>20</v>
      </c>
      <c r="H566" s="595" t="s">
        <v>917</v>
      </c>
      <c r="I566" s="576" t="s">
        <v>768</v>
      </c>
      <c r="J566" s="614">
        <v>0</v>
      </c>
      <c r="K566" s="614">
        <v>0</v>
      </c>
      <c r="L566" s="614">
        <v>600</v>
      </c>
      <c r="M566" s="614">
        <v>0</v>
      </c>
      <c r="N566" s="596">
        <v>0</v>
      </c>
      <c r="O566" s="596">
        <f t="shared" si="119"/>
        <v>0</v>
      </c>
    </row>
    <row r="567" spans="1:21" s="625" customFormat="1" ht="14.4" x14ac:dyDescent="0.3">
      <c r="A567" s="624"/>
      <c r="B567" s="651"/>
      <c r="C567" s="652"/>
      <c r="D567" s="652"/>
      <c r="E567" s="652"/>
      <c r="F567" s="653" t="s">
        <v>132</v>
      </c>
      <c r="G567" s="653" t="s">
        <v>73</v>
      </c>
      <c r="H567" s="652"/>
      <c r="I567" s="652"/>
      <c r="J567" s="654">
        <f t="shared" ref="J567:O567" si="120">J568</f>
        <v>4601.3</v>
      </c>
      <c r="K567" s="654">
        <f t="shared" si="120"/>
        <v>4601.3</v>
      </c>
      <c r="L567" s="654">
        <f t="shared" si="120"/>
        <v>5557.4</v>
      </c>
      <c r="M567" s="654">
        <f t="shared" si="120"/>
        <v>6448.1</v>
      </c>
      <c r="N567" s="654">
        <f t="shared" si="120"/>
        <v>7413.6</v>
      </c>
      <c r="O567" s="654">
        <f t="shared" si="120"/>
        <v>7909.3</v>
      </c>
    </row>
    <row r="568" spans="1:21" ht="42" customHeight="1" thickBot="1" x14ac:dyDescent="0.35">
      <c r="A568" s="626"/>
      <c r="B568" s="613"/>
      <c r="C568" s="627" t="s">
        <v>890</v>
      </c>
      <c r="D568" s="628"/>
      <c r="E568" s="628"/>
      <c r="F568" s="617" t="s">
        <v>132</v>
      </c>
      <c r="G568" s="617" t="s">
        <v>73</v>
      </c>
      <c r="H568" s="629">
        <v>1020200590</v>
      </c>
      <c r="I568" s="576" t="s">
        <v>761</v>
      </c>
      <c r="J568" s="614">
        <v>4601.3</v>
      </c>
      <c r="K568" s="614">
        <v>4601.3</v>
      </c>
      <c r="L568" s="614">
        <v>5557.4</v>
      </c>
      <c r="M568" s="614">
        <v>6448.1</v>
      </c>
      <c r="N568" s="614">
        <v>7413.6</v>
      </c>
      <c r="O568" s="614">
        <v>7909.3</v>
      </c>
    </row>
    <row r="569" spans="1:21" s="74" customFormat="1" ht="18" customHeight="1" thickBot="1" x14ac:dyDescent="0.35">
      <c r="A569" s="810">
        <v>929</v>
      </c>
      <c r="B569" s="811" t="s">
        <v>950</v>
      </c>
      <c r="C569" s="812"/>
      <c r="D569" s="812"/>
      <c r="E569" s="812"/>
      <c r="F569" s="812"/>
      <c r="G569" s="812"/>
      <c r="H569" s="812"/>
      <c r="I569" s="813"/>
      <c r="J569" s="797">
        <f t="shared" ref="J569:O569" si="121">SUM(J590,J571)</f>
        <v>217130.6</v>
      </c>
      <c r="K569" s="797">
        <f t="shared" si="121"/>
        <v>217119.30000000002</v>
      </c>
      <c r="L569" s="797">
        <f t="shared" si="121"/>
        <v>151130.19999999998</v>
      </c>
      <c r="M569" s="797">
        <f>SUM(M590,M571)</f>
        <v>239363.3</v>
      </c>
      <c r="N569" s="797">
        <f t="shared" si="121"/>
        <v>178400.49999999997</v>
      </c>
      <c r="O569" s="798">
        <f t="shared" si="121"/>
        <v>169664.5</v>
      </c>
      <c r="P569" s="73"/>
      <c r="Q569" s="73"/>
      <c r="R569" s="73"/>
      <c r="S569" s="73"/>
      <c r="T569" s="73"/>
      <c r="U569" s="73"/>
    </row>
    <row r="570" spans="1:21" s="19" customFormat="1" ht="18" customHeight="1" thickBot="1" x14ac:dyDescent="0.4">
      <c r="A570" s="663" t="s">
        <v>899</v>
      </c>
      <c r="B570" s="663"/>
      <c r="C570" s="663"/>
      <c r="D570" s="663"/>
      <c r="E570" s="663"/>
      <c r="F570" s="663"/>
      <c r="G570" s="663"/>
      <c r="H570" s="663"/>
      <c r="I570" s="663"/>
      <c r="J570" s="663"/>
      <c r="K570" s="663"/>
      <c r="L570" s="663"/>
      <c r="M570" s="663"/>
      <c r="N570" s="663"/>
      <c r="O570" s="664"/>
      <c r="Q570" s="314"/>
      <c r="R570" s="314"/>
      <c r="S570" s="314"/>
    </row>
    <row r="571" spans="1:21" s="670" customFormat="1" ht="18.600000000000001" thickBot="1" x14ac:dyDescent="0.4">
      <c r="A571" s="665">
        <v>929</v>
      </c>
      <c r="B571" s="666" t="s">
        <v>887</v>
      </c>
      <c r="C571" s="667"/>
      <c r="D571" s="668"/>
      <c r="E571" s="669"/>
      <c r="F571" s="669"/>
      <c r="G571" s="669"/>
      <c r="H571" s="669"/>
      <c r="I571" s="669"/>
      <c r="J571" s="799">
        <f t="shared" ref="J571:N571" si="122">SUM(J572:J589)</f>
        <v>209735.2</v>
      </c>
      <c r="K571" s="799">
        <f t="shared" si="122"/>
        <v>209723.90000000002</v>
      </c>
      <c r="L571" s="799">
        <f t="shared" si="122"/>
        <v>141564.9</v>
      </c>
      <c r="M571" s="799">
        <f>SUM(M572:M589)</f>
        <v>232070.19999999998</v>
      </c>
      <c r="N571" s="800">
        <f t="shared" si="122"/>
        <v>167268.99999999997</v>
      </c>
      <c r="O571" s="801">
        <f>SUM(O572:O589)</f>
        <v>156645.29999999999</v>
      </c>
    </row>
    <row r="572" spans="1:21" s="612" customFormat="1" ht="132" customHeight="1" x14ac:dyDescent="0.35">
      <c r="A572" s="671"/>
      <c r="B572" s="672" t="s">
        <v>919</v>
      </c>
      <c r="C572" s="673" t="s">
        <v>920</v>
      </c>
      <c r="D572" s="674"/>
      <c r="E572" s="675"/>
      <c r="F572" s="601" t="s">
        <v>136</v>
      </c>
      <c r="G572" s="601" t="s">
        <v>20</v>
      </c>
      <c r="H572" s="676" t="s">
        <v>921</v>
      </c>
      <c r="I572" s="677" t="s">
        <v>761</v>
      </c>
      <c r="J572" s="678">
        <v>61831.3</v>
      </c>
      <c r="K572" s="678">
        <v>61831.3</v>
      </c>
      <c r="L572" s="678">
        <v>69205</v>
      </c>
      <c r="M572" s="679">
        <v>85674.8</v>
      </c>
      <c r="N572" s="679">
        <v>81052</v>
      </c>
      <c r="O572" s="679">
        <v>69999.5</v>
      </c>
    </row>
    <row r="573" spans="1:21" ht="79.8" customHeight="1" x14ac:dyDescent="0.35">
      <c r="A573" s="671"/>
      <c r="B573" s="672"/>
      <c r="C573" s="680" t="s">
        <v>922</v>
      </c>
      <c r="D573" s="681"/>
      <c r="E573" s="681"/>
      <c r="F573" s="601" t="s">
        <v>136</v>
      </c>
      <c r="G573" s="601" t="s">
        <v>20</v>
      </c>
      <c r="H573" s="463" t="s">
        <v>923</v>
      </c>
      <c r="I573" s="682" t="s">
        <v>761</v>
      </c>
      <c r="J573" s="683">
        <f>46855.5+20</f>
        <v>46875.5</v>
      </c>
      <c r="K573" s="683">
        <f>46855.5+20</f>
        <v>46875.5</v>
      </c>
      <c r="L573" s="683">
        <f>55627.7+36</f>
        <v>55663.7</v>
      </c>
      <c r="M573" s="550">
        <f>55728.3+3204.4</f>
        <v>58932.700000000004</v>
      </c>
      <c r="N573" s="550">
        <v>84180.3</v>
      </c>
      <c r="O573" s="550">
        <v>84609.1</v>
      </c>
    </row>
    <row r="574" spans="1:21" ht="54" customHeight="1" x14ac:dyDescent="0.35">
      <c r="A574" s="671"/>
      <c r="B574" s="672"/>
      <c r="C574" s="684" t="s">
        <v>924</v>
      </c>
      <c r="D574" s="674"/>
      <c r="E574" s="674"/>
      <c r="F574" s="595" t="s">
        <v>136</v>
      </c>
      <c r="G574" s="595" t="s">
        <v>20</v>
      </c>
      <c r="H574" s="685" t="s">
        <v>925</v>
      </c>
      <c r="I574" s="682" t="s">
        <v>764</v>
      </c>
      <c r="J574" s="686"/>
      <c r="K574" s="686"/>
      <c r="L574" s="686"/>
      <c r="M574" s="687"/>
      <c r="N574" s="686"/>
      <c r="O574" s="686"/>
    </row>
    <row r="575" spans="1:21" ht="70.2" customHeight="1" x14ac:dyDescent="0.3">
      <c r="A575" s="671"/>
      <c r="B575" s="672"/>
      <c r="C575" s="688" t="s">
        <v>926</v>
      </c>
      <c r="D575" s="689"/>
      <c r="E575" s="689"/>
      <c r="F575" s="690">
        <v>11</v>
      </c>
      <c r="G575" s="691" t="s">
        <v>20</v>
      </c>
      <c r="H575" s="692" t="s">
        <v>927</v>
      </c>
      <c r="I575" s="693" t="s">
        <v>768</v>
      </c>
      <c r="J575" s="683">
        <f>113.6+1148.4</f>
        <v>1262</v>
      </c>
      <c r="K575" s="683">
        <f>113.6+1148.4</f>
        <v>1262</v>
      </c>
      <c r="L575" s="683">
        <f>125.5+1268.9</f>
        <v>1394.4</v>
      </c>
      <c r="M575" s="555">
        <f>125.5+1268.4</f>
        <v>1393.9</v>
      </c>
      <c r="N575" s="683">
        <f>206.6+1268.9</f>
        <v>1475.5</v>
      </c>
      <c r="O575" s="683">
        <f>206.6+1268.9</f>
        <v>1475.5</v>
      </c>
    </row>
    <row r="576" spans="1:21" ht="98.25" customHeight="1" x14ac:dyDescent="0.3">
      <c r="A576" s="671"/>
      <c r="B576" s="672"/>
      <c r="C576" s="694" t="s">
        <v>928</v>
      </c>
      <c r="D576" s="689"/>
      <c r="E576" s="689"/>
      <c r="F576" s="690">
        <v>11</v>
      </c>
      <c r="G576" s="691" t="s">
        <v>20</v>
      </c>
      <c r="H576" s="695" t="s">
        <v>929</v>
      </c>
      <c r="I576" s="693" t="s">
        <v>768</v>
      </c>
      <c r="J576" s="696">
        <f>227.9+4331.2</f>
        <v>4559.0999999999995</v>
      </c>
      <c r="K576" s="696">
        <f>227.9+4331.1</f>
        <v>4559</v>
      </c>
      <c r="L576" s="696">
        <f>220.5+4188.5</f>
        <v>4409</v>
      </c>
      <c r="M576" s="555">
        <v>0</v>
      </c>
      <c r="N576" s="696">
        <v>0</v>
      </c>
      <c r="O576" s="696">
        <v>0</v>
      </c>
    </row>
    <row r="577" spans="1:19" ht="37.5" customHeight="1" x14ac:dyDescent="0.3">
      <c r="A577" s="671"/>
      <c r="B577" s="672"/>
      <c r="C577" s="697" t="s">
        <v>930</v>
      </c>
      <c r="D577" s="698"/>
      <c r="E577" s="698"/>
      <c r="F577" s="699">
        <v>11</v>
      </c>
      <c r="G577" s="700" t="s">
        <v>20</v>
      </c>
      <c r="H577" s="701" t="s">
        <v>931</v>
      </c>
      <c r="I577" s="693" t="s">
        <v>768</v>
      </c>
      <c r="J577" s="683">
        <v>546.79999999999995</v>
      </c>
      <c r="K577" s="683">
        <v>535.6</v>
      </c>
      <c r="L577" s="683">
        <v>645.5</v>
      </c>
      <c r="M577" s="550">
        <v>531.29999999999995</v>
      </c>
      <c r="N577" s="683">
        <v>531.29999999999995</v>
      </c>
      <c r="O577" s="683">
        <v>531.29999999999995</v>
      </c>
    </row>
    <row r="578" spans="1:19" ht="44.4" customHeight="1" x14ac:dyDescent="0.3">
      <c r="A578" s="671"/>
      <c r="B578" s="672"/>
      <c r="C578" s="702" t="s">
        <v>752</v>
      </c>
      <c r="D578" s="703"/>
      <c r="E578" s="703"/>
      <c r="F578" s="704">
        <v>11</v>
      </c>
      <c r="G578" s="705" t="s">
        <v>20</v>
      </c>
      <c r="H578" s="706">
        <v>1230111580</v>
      </c>
      <c r="I578" s="693" t="s">
        <v>805</v>
      </c>
      <c r="J578" s="696">
        <v>6623.5</v>
      </c>
      <c r="K578" s="696">
        <v>6623.5</v>
      </c>
      <c r="L578" s="696">
        <v>431.5</v>
      </c>
      <c r="M578" s="555">
        <v>899.5</v>
      </c>
      <c r="N578" s="696"/>
      <c r="O578" s="696"/>
    </row>
    <row r="579" spans="1:19" ht="44.4" customHeight="1" x14ac:dyDescent="0.3">
      <c r="A579" s="671"/>
      <c r="B579" s="672"/>
      <c r="C579" s="707"/>
      <c r="D579" s="708"/>
      <c r="E579" s="708"/>
      <c r="F579" s="709"/>
      <c r="G579" s="710"/>
      <c r="H579" s="711"/>
      <c r="I579" s="693" t="s">
        <v>768</v>
      </c>
      <c r="J579" s="696"/>
      <c r="K579" s="696"/>
      <c r="L579" s="696">
        <v>117.7</v>
      </c>
      <c r="M579" s="555"/>
      <c r="N579" s="696"/>
      <c r="O579" s="696"/>
    </row>
    <row r="580" spans="1:19" ht="72" customHeight="1" x14ac:dyDescent="0.3">
      <c r="A580" s="671"/>
      <c r="B580" s="672"/>
      <c r="C580" s="712" t="s">
        <v>932</v>
      </c>
      <c r="D580" s="628"/>
      <c r="E580" s="628"/>
      <c r="F580" s="616">
        <v>11</v>
      </c>
      <c r="G580" s="617" t="s">
        <v>20</v>
      </c>
      <c r="H580" s="713" t="s">
        <v>933</v>
      </c>
      <c r="I580" s="693" t="s">
        <v>805</v>
      </c>
      <c r="J580" s="696"/>
      <c r="K580" s="696"/>
      <c r="L580" s="696"/>
      <c r="M580" s="555">
        <f>4230.5+80377.6</f>
        <v>84608.1</v>
      </c>
      <c r="N580" s="696"/>
      <c r="O580" s="696"/>
      <c r="Q580" s="714"/>
    </row>
    <row r="581" spans="1:19" ht="75" hidden="1" customHeight="1" x14ac:dyDescent="0.3">
      <c r="A581" s="671"/>
      <c r="B581" s="672"/>
      <c r="C581" s="684" t="s">
        <v>934</v>
      </c>
      <c r="D581" s="715"/>
      <c r="E581" s="715"/>
      <c r="F581" s="616">
        <v>11</v>
      </c>
      <c r="G581" s="617" t="s">
        <v>20</v>
      </c>
      <c r="H581" s="713" t="s">
        <v>935</v>
      </c>
      <c r="I581" s="693" t="s">
        <v>768</v>
      </c>
      <c r="J581" s="696"/>
      <c r="K581" s="696"/>
      <c r="L581" s="696"/>
      <c r="M581" s="550"/>
      <c r="N581" s="683"/>
      <c r="O581" s="683"/>
    </row>
    <row r="582" spans="1:19" ht="98.25" hidden="1" customHeight="1" x14ac:dyDescent="0.3">
      <c r="A582" s="671"/>
      <c r="B582" s="672"/>
      <c r="C582" s="702" t="s">
        <v>936</v>
      </c>
      <c r="D582" s="716"/>
      <c r="E582" s="716"/>
      <c r="F582" s="576" t="s">
        <v>136</v>
      </c>
      <c r="G582" s="576" t="s">
        <v>20</v>
      </c>
      <c r="H582" s="717" t="s">
        <v>937</v>
      </c>
      <c r="I582" s="693" t="s">
        <v>768</v>
      </c>
      <c r="J582" s="683"/>
      <c r="K582" s="683"/>
      <c r="L582" s="683"/>
      <c r="M582" s="555"/>
      <c r="N582" s="696"/>
      <c r="O582" s="696"/>
    </row>
    <row r="583" spans="1:19" ht="60.75" customHeight="1" x14ac:dyDescent="0.3">
      <c r="A583" s="671"/>
      <c r="B583" s="672"/>
      <c r="C583" s="718"/>
      <c r="D583" s="716"/>
      <c r="E583" s="716"/>
      <c r="F583" s="576" t="s">
        <v>136</v>
      </c>
      <c r="G583" s="576" t="s">
        <v>20</v>
      </c>
      <c r="H583" s="717" t="s">
        <v>937</v>
      </c>
      <c r="I583" s="693" t="s">
        <v>768</v>
      </c>
      <c r="J583" s="683">
        <v>200.2</v>
      </c>
      <c r="K583" s="683">
        <v>200.2</v>
      </c>
      <c r="L583" s="683"/>
      <c r="M583" s="555"/>
      <c r="N583" s="696"/>
      <c r="O583" s="696"/>
    </row>
    <row r="584" spans="1:19" ht="60.75" customHeight="1" x14ac:dyDescent="0.3">
      <c r="A584" s="671"/>
      <c r="B584" s="672"/>
      <c r="C584" s="707"/>
      <c r="D584" s="716"/>
      <c r="E584" s="716"/>
      <c r="F584" s="576" t="s">
        <v>136</v>
      </c>
      <c r="G584" s="576" t="s">
        <v>20</v>
      </c>
      <c r="H584" s="717" t="s">
        <v>938</v>
      </c>
      <c r="I584" s="693" t="s">
        <v>768</v>
      </c>
      <c r="J584" s="683">
        <v>5005</v>
      </c>
      <c r="K584" s="683">
        <v>5005</v>
      </c>
      <c r="L584" s="683"/>
      <c r="M584" s="555"/>
      <c r="N584" s="696"/>
      <c r="O584" s="696"/>
    </row>
    <row r="585" spans="1:19" ht="35.25" customHeight="1" x14ac:dyDescent="0.3">
      <c r="A585" s="671"/>
      <c r="B585" s="672"/>
      <c r="C585" s="719" t="s">
        <v>939</v>
      </c>
      <c r="D585" s="720"/>
      <c r="E585" s="720"/>
      <c r="F585" s="616">
        <v>11</v>
      </c>
      <c r="G585" s="617" t="s">
        <v>20</v>
      </c>
      <c r="H585" s="713" t="s">
        <v>940</v>
      </c>
      <c r="I585" s="693" t="s">
        <v>768</v>
      </c>
      <c r="J585" s="696"/>
      <c r="K585" s="696"/>
      <c r="L585" s="696">
        <f>1291+8377.2</f>
        <v>9668.2000000000007</v>
      </c>
      <c r="M585" s="550"/>
      <c r="N585" s="696"/>
      <c r="O585" s="696"/>
      <c r="P585" s="721"/>
    </row>
    <row r="586" spans="1:19" ht="41.25" customHeight="1" x14ac:dyDescent="0.3">
      <c r="A586" s="671"/>
      <c r="B586" s="672"/>
      <c r="C586" s="722"/>
      <c r="D586" s="723"/>
      <c r="E586" s="723"/>
      <c r="F586" s="616">
        <v>11</v>
      </c>
      <c r="G586" s="617" t="s">
        <v>20</v>
      </c>
      <c r="H586" s="713">
        <v>1230110341</v>
      </c>
      <c r="I586" s="693" t="s">
        <v>768</v>
      </c>
      <c r="J586" s="696">
        <v>130.1</v>
      </c>
      <c r="K586" s="696">
        <v>130.1</v>
      </c>
      <c r="L586" s="696"/>
      <c r="M586" s="555"/>
      <c r="N586" s="696"/>
      <c r="O586" s="696"/>
    </row>
    <row r="587" spans="1:19" ht="59.4" customHeight="1" x14ac:dyDescent="0.3">
      <c r="A587" s="724"/>
      <c r="B587" s="725"/>
      <c r="C587" s="684" t="s">
        <v>941</v>
      </c>
      <c r="D587" s="726"/>
      <c r="E587" s="727"/>
      <c r="F587" s="595" t="s">
        <v>136</v>
      </c>
      <c r="G587" s="595" t="s">
        <v>20</v>
      </c>
      <c r="H587" s="685" t="s">
        <v>942</v>
      </c>
      <c r="I587" s="682" t="s">
        <v>805</v>
      </c>
      <c r="J587" s="683">
        <f>4135.2+78566.5</f>
        <v>82701.7</v>
      </c>
      <c r="K587" s="683">
        <f>4135.2+78566.5</f>
        <v>82701.7</v>
      </c>
      <c r="L587" s="683"/>
      <c r="M587" s="550"/>
      <c r="N587" s="696"/>
      <c r="O587" s="696"/>
    </row>
    <row r="588" spans="1:19" ht="58.5" customHeight="1" x14ac:dyDescent="0.3">
      <c r="A588" s="728"/>
      <c r="B588" s="729"/>
      <c r="C588" s="702" t="s">
        <v>943</v>
      </c>
      <c r="D588" s="730"/>
      <c r="E588" s="731"/>
      <c r="F588" s="595"/>
      <c r="G588" s="595"/>
      <c r="H588" s="732" t="s">
        <v>944</v>
      </c>
      <c r="I588" s="682" t="s">
        <v>825</v>
      </c>
      <c r="J588" s="683"/>
      <c r="K588" s="683"/>
      <c r="L588" s="733">
        <v>9</v>
      </c>
      <c r="M588" s="734"/>
      <c r="N588" s="735"/>
      <c r="O588" s="735"/>
    </row>
    <row r="589" spans="1:19" ht="55.5" customHeight="1" thickBot="1" x14ac:dyDescent="0.35">
      <c r="A589" s="728"/>
      <c r="B589" s="729"/>
      <c r="C589" s="802"/>
      <c r="D589" s="736"/>
      <c r="E589" s="737"/>
      <c r="F589" s="738" t="s">
        <v>136</v>
      </c>
      <c r="G589" s="738" t="s">
        <v>20</v>
      </c>
      <c r="H589" s="739"/>
      <c r="I589" s="740" t="s">
        <v>33</v>
      </c>
      <c r="J589" s="741"/>
      <c r="K589" s="741"/>
      <c r="L589" s="733">
        <v>20.9</v>
      </c>
      <c r="M589" s="734">
        <v>29.9</v>
      </c>
      <c r="N589" s="733">
        <v>29.9</v>
      </c>
      <c r="O589" s="733">
        <v>29.9</v>
      </c>
    </row>
    <row r="590" spans="1:19" s="744" customFormat="1" ht="18.75" customHeight="1" thickBot="1" x14ac:dyDescent="0.4">
      <c r="A590" s="803"/>
      <c r="B590" s="804" t="s">
        <v>887</v>
      </c>
      <c r="C590" s="805"/>
      <c r="D590" s="806"/>
      <c r="E590" s="807"/>
      <c r="F590" s="808"/>
      <c r="G590" s="808"/>
      <c r="H590" s="809"/>
      <c r="I590" s="809"/>
      <c r="J590" s="742">
        <f t="shared" ref="J590:O590" si="123">J591+J594+J600+J606+J613</f>
        <v>7395.4000000000005</v>
      </c>
      <c r="K590" s="742">
        <f t="shared" si="123"/>
        <v>7395.4000000000005</v>
      </c>
      <c r="L590" s="742">
        <f t="shared" si="123"/>
        <v>9565.2999999999993</v>
      </c>
      <c r="M590" s="742">
        <f t="shared" si="123"/>
        <v>7293.0999999999995</v>
      </c>
      <c r="N590" s="742">
        <f t="shared" si="123"/>
        <v>11131.5</v>
      </c>
      <c r="O590" s="742">
        <f t="shared" si="123"/>
        <v>13019.200000000003</v>
      </c>
      <c r="P590" s="743"/>
      <c r="Q590" s="743"/>
      <c r="R590" s="743"/>
      <c r="S590" s="743"/>
    </row>
    <row r="591" spans="1:19" s="754" customFormat="1" ht="18.75" customHeight="1" x14ac:dyDescent="0.35">
      <c r="A591" s="745"/>
      <c r="B591" s="746"/>
      <c r="C591" s="747" t="s">
        <v>945</v>
      </c>
      <c r="D591" s="748"/>
      <c r="E591" s="749"/>
      <c r="F591" s="750">
        <v>11</v>
      </c>
      <c r="G591" s="751" t="s">
        <v>20</v>
      </c>
      <c r="H591" s="752" t="s">
        <v>946</v>
      </c>
      <c r="I591" s="753"/>
      <c r="J591" s="678">
        <f t="shared" ref="J591:L591" si="124">J592+J593</f>
        <v>136.69999999999999</v>
      </c>
      <c r="K591" s="678">
        <f t="shared" si="124"/>
        <v>136.69999999999999</v>
      </c>
      <c r="L591" s="678">
        <f t="shared" si="124"/>
        <v>151.4</v>
      </c>
      <c r="M591" s="679">
        <f>M592+M593</f>
        <v>159.1</v>
      </c>
      <c r="N591" s="678">
        <f>N592+N593</f>
        <v>166.4</v>
      </c>
      <c r="O591" s="678">
        <f>O592+O593</f>
        <v>173.4</v>
      </c>
    </row>
    <row r="592" spans="1:19" s="754" customFormat="1" ht="19.5" customHeight="1" x14ac:dyDescent="0.35">
      <c r="A592" s="755"/>
      <c r="B592" s="756" t="s">
        <v>947</v>
      </c>
      <c r="C592" s="757"/>
      <c r="D592" s="748"/>
      <c r="E592" s="749"/>
      <c r="F592" s="758"/>
      <c r="G592" s="759"/>
      <c r="H592" s="760"/>
      <c r="I592" s="693" t="s">
        <v>825</v>
      </c>
      <c r="J592" s="696"/>
      <c r="K592" s="696"/>
      <c r="L592" s="696"/>
      <c r="M592" s="555"/>
      <c r="N592" s="555"/>
      <c r="O592" s="696"/>
    </row>
    <row r="593" spans="1:16" s="754" customFormat="1" ht="19.5" customHeight="1" x14ac:dyDescent="0.35">
      <c r="A593" s="671"/>
      <c r="B593" s="672"/>
      <c r="C593" s="757"/>
      <c r="D593" s="761"/>
      <c r="E593" s="762"/>
      <c r="F593" s="763"/>
      <c r="G593" s="764"/>
      <c r="H593" s="765"/>
      <c r="I593" s="693" t="s">
        <v>33</v>
      </c>
      <c r="J593" s="696">
        <v>136.69999999999999</v>
      </c>
      <c r="K593" s="696">
        <v>136.69999999999999</v>
      </c>
      <c r="L593" s="696">
        <v>151.4</v>
      </c>
      <c r="M593" s="555">
        <f>63+96.1</f>
        <v>159.1</v>
      </c>
      <c r="N593" s="555">
        <v>166.4</v>
      </c>
      <c r="O593" s="696">
        <v>173.4</v>
      </c>
    </row>
    <row r="594" spans="1:16" s="754" customFormat="1" ht="19.5" customHeight="1" x14ac:dyDescent="0.35">
      <c r="A594" s="671"/>
      <c r="B594" s="672"/>
      <c r="C594" s="757"/>
      <c r="D594" s="761"/>
      <c r="E594" s="762"/>
      <c r="F594" s="766">
        <v>11</v>
      </c>
      <c r="G594" s="767" t="s">
        <v>20</v>
      </c>
      <c r="H594" s="768">
        <v>1220110070</v>
      </c>
      <c r="I594" s="693"/>
      <c r="J594" s="683">
        <f>SUM(J595:J596)</f>
        <v>335.8</v>
      </c>
      <c r="K594" s="683">
        <f>SUM(K595:K596)</f>
        <v>335.8</v>
      </c>
      <c r="L594" s="683">
        <f>SUM(L595:L596)</f>
        <v>429.29999999999995</v>
      </c>
      <c r="M594" s="683">
        <f t="shared" ref="M594:O594" si="125">SUM(M595:M596)</f>
        <v>529.29999999999995</v>
      </c>
      <c r="N594" s="683">
        <f t="shared" si="125"/>
        <v>1094.0999999999999</v>
      </c>
      <c r="O594" s="683">
        <f t="shared" si="125"/>
        <v>1137.9000000000001</v>
      </c>
    </row>
    <row r="595" spans="1:16" s="754" customFormat="1" ht="19.5" customHeight="1" x14ac:dyDescent="0.35">
      <c r="A595" s="671"/>
      <c r="B595" s="672"/>
      <c r="C595" s="757"/>
      <c r="D595" s="761"/>
      <c r="E595" s="762"/>
      <c r="F595" s="758"/>
      <c r="G595" s="769"/>
      <c r="H595" s="770"/>
      <c r="I595" s="693" t="s">
        <v>33</v>
      </c>
      <c r="J595" s="696">
        <v>111.3</v>
      </c>
      <c r="K595" s="696">
        <v>111.3</v>
      </c>
      <c r="L595" s="555">
        <v>280.89999999999998</v>
      </c>
      <c r="M595" s="555">
        <f>100+20</f>
        <v>120</v>
      </c>
      <c r="N595" s="555">
        <f>479.1+120</f>
        <v>599.1</v>
      </c>
      <c r="O595" s="696">
        <v>120</v>
      </c>
    </row>
    <row r="596" spans="1:16" s="754" customFormat="1" ht="21" customHeight="1" x14ac:dyDescent="0.35">
      <c r="A596" s="671"/>
      <c r="B596" s="672"/>
      <c r="C596" s="757"/>
      <c r="D596" s="771"/>
      <c r="E596" s="771"/>
      <c r="F596" s="763"/>
      <c r="G596" s="772"/>
      <c r="H596" s="773"/>
      <c r="I596" s="693" t="s">
        <v>768</v>
      </c>
      <c r="J596" s="696">
        <v>224.5</v>
      </c>
      <c r="K596" s="696">
        <v>224.5</v>
      </c>
      <c r="L596" s="555">
        <v>148.4</v>
      </c>
      <c r="M596" s="555">
        <v>409.3</v>
      </c>
      <c r="N596" s="555">
        <v>495</v>
      </c>
      <c r="O596" s="696">
        <f>538.8+479.1</f>
        <v>1017.9</v>
      </c>
    </row>
    <row r="597" spans="1:16" s="754" customFormat="1" ht="21" customHeight="1" x14ac:dyDescent="0.3">
      <c r="A597" s="671"/>
      <c r="B597" s="672"/>
      <c r="C597" s="757"/>
      <c r="D597" s="774"/>
      <c r="E597" s="774"/>
      <c r="F597" s="775"/>
      <c r="G597" s="776"/>
      <c r="H597" s="768">
        <v>1210110120</v>
      </c>
      <c r="I597" s="753" t="s">
        <v>279</v>
      </c>
      <c r="J597" s="777"/>
      <c r="K597" s="777"/>
      <c r="L597" s="777"/>
      <c r="M597" s="778"/>
      <c r="N597" s="778"/>
      <c r="O597" s="777"/>
    </row>
    <row r="598" spans="1:16" s="754" customFormat="1" ht="21" customHeight="1" x14ac:dyDescent="0.3">
      <c r="A598" s="671"/>
      <c r="B598" s="672"/>
      <c r="C598" s="757"/>
      <c r="D598" s="774"/>
      <c r="E598" s="774"/>
      <c r="F598" s="758">
        <v>11</v>
      </c>
      <c r="G598" s="769" t="s">
        <v>20</v>
      </c>
      <c r="H598" s="770"/>
      <c r="I598" s="693" t="s">
        <v>825</v>
      </c>
      <c r="J598" s="696"/>
      <c r="K598" s="696"/>
      <c r="L598" s="696"/>
      <c r="M598" s="555"/>
      <c r="N598" s="555"/>
      <c r="O598" s="696"/>
    </row>
    <row r="599" spans="1:16" s="754" customFormat="1" ht="21" customHeight="1" x14ac:dyDescent="0.3">
      <c r="A599" s="671"/>
      <c r="B599" s="672"/>
      <c r="C599" s="757"/>
      <c r="D599" s="774"/>
      <c r="E599" s="774"/>
      <c r="F599" s="763"/>
      <c r="G599" s="772"/>
      <c r="H599" s="773"/>
      <c r="I599" s="779" t="s">
        <v>33</v>
      </c>
      <c r="J599" s="735"/>
      <c r="K599" s="735"/>
      <c r="L599" s="735"/>
      <c r="M599" s="780"/>
      <c r="N599" s="780"/>
      <c r="O599" s="735"/>
    </row>
    <row r="600" spans="1:16" s="754" customFormat="1" ht="21" customHeight="1" x14ac:dyDescent="0.3">
      <c r="A600" s="671"/>
      <c r="B600" s="672"/>
      <c r="C600" s="757"/>
      <c r="D600" s="781"/>
      <c r="E600" s="781"/>
      <c r="F600" s="704">
        <v>11</v>
      </c>
      <c r="G600" s="705" t="s">
        <v>20</v>
      </c>
      <c r="H600" s="706">
        <v>1220110740</v>
      </c>
      <c r="I600" s="693"/>
      <c r="J600" s="683">
        <f>SUM(J601:J605)</f>
        <v>879.9</v>
      </c>
      <c r="K600" s="683">
        <f t="shared" ref="K600:O600" si="126">SUM(K601:K605)</f>
        <v>879.9</v>
      </c>
      <c r="L600" s="683">
        <f t="shared" si="126"/>
        <v>952.4</v>
      </c>
      <c r="M600" s="683">
        <f t="shared" si="126"/>
        <v>1000</v>
      </c>
      <c r="N600" s="683">
        <f t="shared" si="126"/>
        <v>2040.8</v>
      </c>
      <c r="O600" s="683">
        <f t="shared" si="126"/>
        <v>2122.5</v>
      </c>
    </row>
    <row r="601" spans="1:16" s="754" customFormat="1" ht="19.5" customHeight="1" x14ac:dyDescent="0.3">
      <c r="A601" s="671"/>
      <c r="B601" s="672"/>
      <c r="C601" s="757"/>
      <c r="D601" s="774"/>
      <c r="E601" s="774"/>
      <c r="F601" s="782"/>
      <c r="G601" s="783"/>
      <c r="H601" s="784"/>
      <c r="I601" s="693" t="s">
        <v>279</v>
      </c>
      <c r="J601" s="696"/>
      <c r="K601" s="696"/>
      <c r="L601" s="696"/>
      <c r="M601" s="555"/>
      <c r="N601" s="555"/>
      <c r="O601" s="696"/>
    </row>
    <row r="602" spans="1:16" s="754" customFormat="1" ht="19.5" customHeight="1" x14ac:dyDescent="0.3">
      <c r="A602" s="671"/>
      <c r="B602" s="672"/>
      <c r="C602" s="757"/>
      <c r="D602" s="774"/>
      <c r="E602" s="774"/>
      <c r="F602" s="782"/>
      <c r="G602" s="783"/>
      <c r="H602" s="784"/>
      <c r="I602" s="693" t="s">
        <v>825</v>
      </c>
      <c r="J602" s="696"/>
      <c r="K602" s="696"/>
      <c r="L602" s="696"/>
      <c r="M602" s="555"/>
      <c r="N602" s="555"/>
      <c r="O602" s="696"/>
    </row>
    <row r="603" spans="1:16" s="754" customFormat="1" ht="19.5" customHeight="1" x14ac:dyDescent="0.3">
      <c r="A603" s="671"/>
      <c r="B603" s="672"/>
      <c r="C603" s="757"/>
      <c r="D603" s="774"/>
      <c r="E603" s="774"/>
      <c r="F603" s="782"/>
      <c r="G603" s="783"/>
      <c r="H603" s="784"/>
      <c r="I603" s="693" t="s">
        <v>33</v>
      </c>
      <c r="J603" s="696">
        <v>334.7</v>
      </c>
      <c r="K603" s="696">
        <v>334.7</v>
      </c>
      <c r="L603" s="555">
        <f>31.5+1.2+58.8</f>
        <v>91.5</v>
      </c>
      <c r="M603" s="555">
        <f>31.5+1.2+17.3</f>
        <v>50</v>
      </c>
      <c r="N603" s="555">
        <f>96.3+1.2+31.5</f>
        <v>129</v>
      </c>
      <c r="O603" s="696">
        <f>33.5+1.2+94.3</f>
        <v>129</v>
      </c>
    </row>
    <row r="604" spans="1:16" s="754" customFormat="1" ht="19.5" customHeight="1" x14ac:dyDescent="0.3">
      <c r="A604" s="671"/>
      <c r="B604" s="672"/>
      <c r="C604" s="757"/>
      <c r="D604" s="774"/>
      <c r="E604" s="774"/>
      <c r="F604" s="782"/>
      <c r="G604" s="783"/>
      <c r="H604" s="784"/>
      <c r="I604" s="693" t="s">
        <v>768</v>
      </c>
      <c r="J604" s="696">
        <v>408.2</v>
      </c>
      <c r="K604" s="696">
        <v>408.2</v>
      </c>
      <c r="L604" s="555">
        <v>720.9</v>
      </c>
      <c r="M604" s="555">
        <v>810</v>
      </c>
      <c r="N604" s="555">
        <f>1297.6+126.2+367</f>
        <v>1790.8</v>
      </c>
      <c r="O604" s="696">
        <f>367+200.1+1305.4</f>
        <v>1872.5</v>
      </c>
    </row>
    <row r="605" spans="1:16" s="754" customFormat="1" ht="19.5" customHeight="1" x14ac:dyDescent="0.3">
      <c r="A605" s="671"/>
      <c r="B605" s="672"/>
      <c r="C605" s="757"/>
      <c r="D605" s="785"/>
      <c r="E605" s="785"/>
      <c r="F605" s="709"/>
      <c r="G605" s="710"/>
      <c r="H605" s="711"/>
      <c r="I605" s="693" t="s">
        <v>41</v>
      </c>
      <c r="J605" s="696">
        <v>137</v>
      </c>
      <c r="K605" s="696">
        <v>137</v>
      </c>
      <c r="L605" s="555">
        <v>140</v>
      </c>
      <c r="M605" s="555">
        <v>140</v>
      </c>
      <c r="N605" s="555">
        <v>121</v>
      </c>
      <c r="O605" s="696">
        <v>121</v>
      </c>
    </row>
    <row r="606" spans="1:16" s="754" customFormat="1" ht="19.5" customHeight="1" x14ac:dyDescent="0.3">
      <c r="A606" s="671"/>
      <c r="B606" s="672"/>
      <c r="C606" s="757"/>
      <c r="D606" s="774"/>
      <c r="E606" s="774"/>
      <c r="F606" s="782">
        <v>11</v>
      </c>
      <c r="G606" s="783" t="s">
        <v>20</v>
      </c>
      <c r="H606" s="706">
        <v>1210110670</v>
      </c>
      <c r="I606" s="753"/>
      <c r="J606" s="786">
        <f t="shared" ref="J606:L606" si="127">SUM(J607:J612)</f>
        <v>5991.3</v>
      </c>
      <c r="K606" s="786">
        <f t="shared" si="127"/>
        <v>5991.3</v>
      </c>
      <c r="L606" s="786">
        <f t="shared" si="127"/>
        <v>7937.7999999999993</v>
      </c>
      <c r="M606" s="787">
        <f>SUM(M607:M612)</f>
        <v>5500</v>
      </c>
      <c r="N606" s="787">
        <f>SUM(N607:N612)</f>
        <v>7720.9000000000005</v>
      </c>
      <c r="O606" s="786">
        <f>SUM(O607:O612)</f>
        <v>9471.3000000000011</v>
      </c>
      <c r="P606" s="788"/>
    </row>
    <row r="607" spans="1:16" s="754" customFormat="1" ht="19.5" customHeight="1" x14ac:dyDescent="0.3">
      <c r="A607" s="671"/>
      <c r="B607" s="672"/>
      <c r="C607" s="757"/>
      <c r="D607" s="774"/>
      <c r="E607" s="774"/>
      <c r="F607" s="782"/>
      <c r="G607" s="783"/>
      <c r="H607" s="784"/>
      <c r="I607" s="693" t="s">
        <v>279</v>
      </c>
      <c r="J607" s="696"/>
      <c r="K607" s="696"/>
      <c r="L607" s="696"/>
      <c r="M607" s="555"/>
      <c r="N607" s="555"/>
      <c r="O607" s="696"/>
    </row>
    <row r="608" spans="1:16" s="754" customFormat="1" ht="19.5" customHeight="1" x14ac:dyDescent="0.3">
      <c r="A608" s="671"/>
      <c r="B608" s="672"/>
      <c r="C608" s="757"/>
      <c r="D608" s="774"/>
      <c r="E608" s="774"/>
      <c r="F608" s="782"/>
      <c r="G608" s="783"/>
      <c r="H608" s="784"/>
      <c r="I608" s="693" t="s">
        <v>825</v>
      </c>
      <c r="J608" s="696">
        <v>59.4</v>
      </c>
      <c r="K608" s="696">
        <v>59.4</v>
      </c>
      <c r="L608" s="696">
        <v>104.4</v>
      </c>
      <c r="M608" s="555">
        <v>40</v>
      </c>
      <c r="N608" s="555">
        <v>27.4</v>
      </c>
      <c r="O608" s="696">
        <v>27.4</v>
      </c>
    </row>
    <row r="609" spans="1:45" s="754" customFormat="1" ht="19.5" customHeight="1" x14ac:dyDescent="0.3">
      <c r="A609" s="671"/>
      <c r="B609" s="672"/>
      <c r="C609" s="757"/>
      <c r="D609" s="774"/>
      <c r="E609" s="774"/>
      <c r="F609" s="782"/>
      <c r="G609" s="783"/>
      <c r="H609" s="784"/>
      <c r="I609" s="693" t="s">
        <v>33</v>
      </c>
      <c r="J609" s="696">
        <v>1364.9</v>
      </c>
      <c r="K609" s="696">
        <v>1364.9</v>
      </c>
      <c r="L609" s="696">
        <f>416.7+28.1+152.2+531.6</f>
        <v>1128.5999999999999</v>
      </c>
      <c r="M609" s="555">
        <f>300+896+78.4+485.6</f>
        <v>1760</v>
      </c>
      <c r="N609" s="555">
        <f>300+57.8+78.4+860</f>
        <v>1296.2</v>
      </c>
      <c r="O609" s="696">
        <f>300+57.8+78.4</f>
        <v>436.20000000000005</v>
      </c>
    </row>
    <row r="610" spans="1:45" s="754" customFormat="1" ht="19.5" customHeight="1" x14ac:dyDescent="0.3">
      <c r="A610" s="671"/>
      <c r="B610" s="672"/>
      <c r="C610" s="757"/>
      <c r="D610" s="774"/>
      <c r="E610" s="774"/>
      <c r="F610" s="782"/>
      <c r="G610" s="783"/>
      <c r="H610" s="784"/>
      <c r="I610" s="693" t="s">
        <v>948</v>
      </c>
      <c r="J610" s="696">
        <v>4567</v>
      </c>
      <c r="K610" s="696">
        <v>4567</v>
      </c>
      <c r="L610" s="696"/>
      <c r="M610" s="555"/>
      <c r="N610" s="555"/>
      <c r="O610" s="696"/>
    </row>
    <row r="611" spans="1:45" s="754" customFormat="1" ht="19.5" customHeight="1" x14ac:dyDescent="0.3">
      <c r="A611" s="671"/>
      <c r="B611" s="672"/>
      <c r="C611" s="757"/>
      <c r="D611" s="774"/>
      <c r="E611" s="774"/>
      <c r="F611" s="782"/>
      <c r="G611" s="783"/>
      <c r="H611" s="784"/>
      <c r="I611" s="693" t="s">
        <v>41</v>
      </c>
      <c r="J611" s="696"/>
      <c r="K611" s="696"/>
      <c r="L611" s="696"/>
      <c r="M611" s="555"/>
      <c r="N611" s="555"/>
      <c r="O611" s="696"/>
    </row>
    <row r="612" spans="1:45" s="754" customFormat="1" ht="19.5" customHeight="1" x14ac:dyDescent="0.3">
      <c r="A612" s="671"/>
      <c r="B612" s="672"/>
      <c r="C612" s="789"/>
      <c r="D612" s="785"/>
      <c r="E612" s="785"/>
      <c r="F612" s="709"/>
      <c r="G612" s="710"/>
      <c r="H612" s="711"/>
      <c r="I612" s="693" t="s">
        <v>768</v>
      </c>
      <c r="J612" s="696">
        <v>0</v>
      </c>
      <c r="K612" s="696"/>
      <c r="L612" s="696">
        <f>1895.9+4808.9</f>
        <v>6704.7999999999993</v>
      </c>
      <c r="M612" s="555">
        <f>540+2300+860</f>
        <v>3700</v>
      </c>
      <c r="N612" s="555">
        <f>2397.3+4000</f>
        <v>6397.3</v>
      </c>
      <c r="O612" s="696">
        <f>3000+5147.7+860</f>
        <v>9007.7000000000007</v>
      </c>
    </row>
    <row r="613" spans="1:45" s="754" customFormat="1" ht="19.5" customHeight="1" x14ac:dyDescent="0.3">
      <c r="A613" s="671"/>
      <c r="B613" s="672"/>
      <c r="C613" s="790" t="s">
        <v>949</v>
      </c>
      <c r="D613" s="720"/>
      <c r="E613" s="720"/>
      <c r="F613" s="704">
        <v>11</v>
      </c>
      <c r="G613" s="705" t="s">
        <v>20</v>
      </c>
      <c r="H613" s="732" t="s">
        <v>908</v>
      </c>
      <c r="I613" s="791"/>
      <c r="J613" s="786">
        <f t="shared" ref="J613:L613" si="128">SUM(J614:J616)</f>
        <v>51.7</v>
      </c>
      <c r="K613" s="786">
        <f t="shared" si="128"/>
        <v>51.7</v>
      </c>
      <c r="L613" s="786">
        <f t="shared" si="128"/>
        <v>94.4</v>
      </c>
      <c r="M613" s="787">
        <f>SUM(M614:M616)</f>
        <v>104.7</v>
      </c>
      <c r="N613" s="787">
        <f>SUM(N614:N616)</f>
        <v>109.3</v>
      </c>
      <c r="O613" s="786">
        <f>SUM(O614:O616)</f>
        <v>114.1</v>
      </c>
    </row>
    <row r="614" spans="1:45" s="754" customFormat="1" ht="19.5" customHeight="1" x14ac:dyDescent="0.3">
      <c r="A614" s="671"/>
      <c r="B614" s="672"/>
      <c r="C614" s="792"/>
      <c r="D614" s="793"/>
      <c r="E614" s="793"/>
      <c r="F614" s="782"/>
      <c r="G614" s="783"/>
      <c r="H614" s="794"/>
      <c r="I614" s="693" t="s">
        <v>279</v>
      </c>
      <c r="J614" s="696">
        <v>0</v>
      </c>
      <c r="K614" s="696">
        <v>0</v>
      </c>
      <c r="L614" s="696"/>
      <c r="M614" s="555"/>
      <c r="N614" s="555"/>
      <c r="O614" s="696"/>
    </row>
    <row r="615" spans="1:45" s="754" customFormat="1" ht="22.95" customHeight="1" x14ac:dyDescent="0.3">
      <c r="A615" s="671"/>
      <c r="B615" s="672"/>
      <c r="C615" s="792"/>
      <c r="D615" s="793"/>
      <c r="E615" s="793"/>
      <c r="F615" s="782"/>
      <c r="G615" s="783"/>
      <c r="H615" s="794"/>
      <c r="I615" s="693" t="s">
        <v>825</v>
      </c>
      <c r="J615" s="696">
        <v>0</v>
      </c>
      <c r="K615" s="696">
        <v>0</v>
      </c>
      <c r="L615" s="696"/>
      <c r="M615" s="555"/>
      <c r="N615" s="555"/>
      <c r="O615" s="696"/>
    </row>
    <row r="616" spans="1:45" s="754" customFormat="1" ht="31.2" customHeight="1" x14ac:dyDescent="0.3">
      <c r="A616" s="724"/>
      <c r="B616" s="725"/>
      <c r="C616" s="795"/>
      <c r="D616" s="723"/>
      <c r="E616" s="723"/>
      <c r="F616" s="709"/>
      <c r="G616" s="710"/>
      <c r="H616" s="796"/>
      <c r="I616" s="693" t="s">
        <v>33</v>
      </c>
      <c r="J616" s="696">
        <v>51.7</v>
      </c>
      <c r="K616" s="696">
        <v>51.7</v>
      </c>
      <c r="L616" s="696">
        <v>94.4</v>
      </c>
      <c r="M616" s="555">
        <v>104.7</v>
      </c>
      <c r="N616" s="555">
        <v>109.3</v>
      </c>
      <c r="O616" s="555">
        <v>114.1</v>
      </c>
    </row>
    <row r="617" spans="1:45" s="61" customFormat="1" ht="37.200000000000003" customHeight="1" x14ac:dyDescent="0.3">
      <c r="A617" s="879">
        <v>934</v>
      </c>
      <c r="B617" s="880" t="s">
        <v>991</v>
      </c>
      <c r="C617" s="880"/>
      <c r="D617" s="880"/>
      <c r="E617" s="880"/>
      <c r="F617" s="880"/>
      <c r="G617" s="880"/>
      <c r="H617" s="881"/>
      <c r="I617" s="882"/>
      <c r="J617" s="883">
        <f t="shared" ref="J617:O617" si="129">J619</f>
        <v>6552.7999999999993</v>
      </c>
      <c r="K617" s="884">
        <f t="shared" si="129"/>
        <v>6552.7999999999993</v>
      </c>
      <c r="L617" s="885">
        <f t="shared" si="129"/>
        <v>7385.4</v>
      </c>
      <c r="M617" s="885">
        <f>M619</f>
        <v>8057.1000000000013</v>
      </c>
      <c r="N617" s="885">
        <f t="shared" si="129"/>
        <v>8259.9</v>
      </c>
      <c r="O617" s="886">
        <f t="shared" si="129"/>
        <v>8392.7000000000007</v>
      </c>
      <c r="P617" s="13"/>
      <c r="Q617" s="13"/>
      <c r="R617" s="13"/>
      <c r="S617" s="13"/>
      <c r="T617" s="13"/>
      <c r="U617" s="13"/>
      <c r="V617" s="13"/>
      <c r="W617" s="13"/>
      <c r="X617" s="13"/>
      <c r="Y617" s="13"/>
      <c r="Z617" s="13"/>
      <c r="AA617" s="294"/>
      <c r="AB617" s="294"/>
      <c r="AC617" s="294"/>
      <c r="AD617" s="294"/>
      <c r="AE617" s="294"/>
      <c r="AF617" s="294"/>
      <c r="AG617" s="294"/>
      <c r="AH617" s="294"/>
      <c r="AI617" s="294"/>
      <c r="AJ617" s="294"/>
      <c r="AK617" s="294"/>
      <c r="AL617" s="294"/>
      <c r="AM617" s="294"/>
      <c r="AN617" s="294"/>
      <c r="AO617" s="294"/>
      <c r="AP617" s="294"/>
      <c r="AQ617" s="294"/>
      <c r="AR617" s="294"/>
      <c r="AS617" s="294"/>
    </row>
    <row r="618" spans="1:45" s="15" customFormat="1" ht="31.65" customHeight="1" x14ac:dyDescent="0.25">
      <c r="A618" s="334" t="s">
        <v>15</v>
      </c>
      <c r="B618" s="334"/>
      <c r="C618" s="334"/>
      <c r="D618" s="334"/>
      <c r="E618" s="334"/>
      <c r="F618" s="334"/>
      <c r="G618" s="334"/>
      <c r="H618" s="334"/>
      <c r="I618" s="334"/>
      <c r="J618" s="334"/>
      <c r="K618" s="334"/>
      <c r="L618" s="334"/>
      <c r="M618" s="334"/>
      <c r="N618" s="334"/>
      <c r="O618" s="334"/>
      <c r="P618" s="13"/>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5" s="299" customFormat="1" ht="72" x14ac:dyDescent="0.3">
      <c r="A619" s="814">
        <v>934</v>
      </c>
      <c r="B619" s="815" t="s">
        <v>951</v>
      </c>
      <c r="C619" s="816" t="s">
        <v>952</v>
      </c>
      <c r="D619" s="817" t="s">
        <v>953</v>
      </c>
      <c r="E619" s="817" t="s">
        <v>19</v>
      </c>
      <c r="F619" s="818"/>
      <c r="G619" s="818"/>
      <c r="H619" s="818"/>
      <c r="I619" s="818"/>
      <c r="J619" s="819">
        <f>J620+J638+J640</f>
        <v>6552.7999999999993</v>
      </c>
      <c r="K619" s="819">
        <f>K620+K638+K640</f>
        <v>6552.7999999999993</v>
      </c>
      <c r="L619" s="820">
        <f>L620+L638+L640+L639</f>
        <v>7385.4</v>
      </c>
      <c r="M619" s="820">
        <f>M620+M639+M640</f>
        <v>8057.1000000000013</v>
      </c>
      <c r="N619" s="820">
        <f>N620+N639+N640</f>
        <v>8259.9</v>
      </c>
      <c r="O619" s="820">
        <f>O620+O639+O640</f>
        <v>8392.7000000000007</v>
      </c>
    </row>
    <row r="620" spans="1:45" s="21" customFormat="1" ht="96" x14ac:dyDescent="0.25">
      <c r="A620" s="821"/>
      <c r="B620" s="822"/>
      <c r="C620" s="823" t="s">
        <v>954</v>
      </c>
      <c r="D620" s="824"/>
      <c r="E620" s="824" t="s">
        <v>955</v>
      </c>
      <c r="F620" s="825" t="s">
        <v>114</v>
      </c>
      <c r="G620" s="825" t="s">
        <v>114</v>
      </c>
      <c r="H620" s="825"/>
      <c r="I620" s="825"/>
      <c r="J620" s="826">
        <f t="shared" ref="J620:O620" si="130">J621+J622+J623+J632+J634+J636+J637</f>
        <v>6534.9</v>
      </c>
      <c r="K620" s="826">
        <f t="shared" si="130"/>
        <v>6534.9</v>
      </c>
      <c r="L620" s="827">
        <f t="shared" si="130"/>
        <v>6883.5</v>
      </c>
      <c r="M620" s="827">
        <f t="shared" si="130"/>
        <v>7529.6000000000013</v>
      </c>
      <c r="N620" s="827">
        <f t="shared" si="130"/>
        <v>7709.1</v>
      </c>
      <c r="O620" s="827">
        <f t="shared" si="130"/>
        <v>7817.6000000000013</v>
      </c>
    </row>
    <row r="621" spans="1:45" s="21" customFormat="1" ht="72" hidden="1" x14ac:dyDescent="0.25">
      <c r="A621" s="821"/>
      <c r="B621" s="828" t="s">
        <v>269</v>
      </c>
      <c r="C621" s="829" t="s">
        <v>956</v>
      </c>
      <c r="D621" s="829"/>
      <c r="E621" s="830" t="s">
        <v>957</v>
      </c>
      <c r="F621" s="831" t="s">
        <v>114</v>
      </c>
      <c r="G621" s="831" t="s">
        <v>114</v>
      </c>
      <c r="H621" s="831" t="s">
        <v>958</v>
      </c>
      <c r="I621" s="831" t="s">
        <v>761</v>
      </c>
      <c r="J621" s="832">
        <v>0</v>
      </c>
      <c r="K621" s="832">
        <v>0</v>
      </c>
      <c r="L621" s="832">
        <v>0</v>
      </c>
      <c r="M621" s="833">
        <v>0</v>
      </c>
      <c r="N621" s="832">
        <v>0</v>
      </c>
      <c r="O621" s="832">
        <v>0</v>
      </c>
    </row>
    <row r="622" spans="1:45" s="21" customFormat="1" hidden="1" x14ac:dyDescent="0.25">
      <c r="A622" s="821"/>
      <c r="B622" s="828"/>
      <c r="C622" s="834"/>
      <c r="D622" s="835"/>
      <c r="E622" s="830"/>
      <c r="F622" s="831"/>
      <c r="G622" s="831"/>
      <c r="H622" s="831"/>
      <c r="I622" s="831"/>
      <c r="J622" s="832">
        <v>0</v>
      </c>
      <c r="K622" s="832">
        <v>0</v>
      </c>
      <c r="L622" s="832">
        <v>0</v>
      </c>
      <c r="M622" s="833">
        <v>0</v>
      </c>
      <c r="N622" s="832">
        <v>0</v>
      </c>
      <c r="O622" s="832">
        <v>0</v>
      </c>
    </row>
    <row r="623" spans="1:45" s="21" customFormat="1" ht="36" x14ac:dyDescent="0.25">
      <c r="A623" s="821"/>
      <c r="B623" s="836" t="s">
        <v>269</v>
      </c>
      <c r="C623" s="834" t="s">
        <v>959</v>
      </c>
      <c r="D623" s="835" t="s">
        <v>960</v>
      </c>
      <c r="E623" s="830" t="s">
        <v>961</v>
      </c>
      <c r="F623" s="831" t="s">
        <v>114</v>
      </c>
      <c r="G623" s="831" t="s">
        <v>114</v>
      </c>
      <c r="H623" s="831" t="s">
        <v>958</v>
      </c>
      <c r="I623" s="831"/>
      <c r="J623" s="837">
        <f t="shared" ref="J623:O623" si="131">J624+J625+J626+J627+J629+J630+J631+J628</f>
        <v>5316.9</v>
      </c>
      <c r="K623" s="837">
        <f t="shared" si="131"/>
        <v>5316.9</v>
      </c>
      <c r="L623" s="833">
        <f t="shared" si="131"/>
        <v>5385.6</v>
      </c>
      <c r="M623" s="833">
        <f>M624+M625+M626+M627+M629+M630+M631+M628</f>
        <v>6029.6000000000013</v>
      </c>
      <c r="N623" s="833">
        <f t="shared" si="131"/>
        <v>6063.2000000000007</v>
      </c>
      <c r="O623" s="833">
        <f t="shared" si="131"/>
        <v>6099.3000000000011</v>
      </c>
    </row>
    <row r="624" spans="1:45" s="21" customFormat="1" ht="24" x14ac:dyDescent="0.25">
      <c r="A624" s="821"/>
      <c r="B624" s="838"/>
      <c r="C624" s="834" t="s">
        <v>962</v>
      </c>
      <c r="D624" s="835"/>
      <c r="E624" s="830" t="s">
        <v>963</v>
      </c>
      <c r="F624" s="831"/>
      <c r="G624" s="831"/>
      <c r="H624" s="835"/>
      <c r="I624" s="835" t="s">
        <v>278</v>
      </c>
      <c r="J624" s="839">
        <f>3499.6+3</f>
        <v>3502.6</v>
      </c>
      <c r="K624" s="839">
        <f>3499.6+3</f>
        <v>3502.6</v>
      </c>
      <c r="L624" s="840">
        <f>3624.7+4.9</f>
        <v>3629.6</v>
      </c>
      <c r="M624" s="840">
        <v>4035.4</v>
      </c>
      <c r="N624" s="840">
        <v>4035.4</v>
      </c>
      <c r="O624" s="840">
        <v>4035.4</v>
      </c>
      <c r="P624" s="303"/>
    </row>
    <row r="625" spans="1:16" s="21" customFormat="1" ht="28.5" customHeight="1" x14ac:dyDescent="0.25">
      <c r="A625" s="821"/>
      <c r="B625" s="838"/>
      <c r="C625" s="834" t="s">
        <v>964</v>
      </c>
      <c r="D625" s="835"/>
      <c r="E625" s="830"/>
      <c r="F625" s="831"/>
      <c r="G625" s="831"/>
      <c r="H625" s="835"/>
      <c r="I625" s="835" t="s">
        <v>279</v>
      </c>
      <c r="J625" s="839">
        <v>0.9</v>
      </c>
      <c r="K625" s="839">
        <v>0.9</v>
      </c>
      <c r="L625" s="840">
        <v>0</v>
      </c>
      <c r="M625" s="840">
        <v>0</v>
      </c>
      <c r="N625" s="840">
        <v>0</v>
      </c>
      <c r="O625" s="840">
        <v>0</v>
      </c>
    </row>
    <row r="626" spans="1:16" s="21" customFormat="1" ht="24" x14ac:dyDescent="0.25">
      <c r="A626" s="821"/>
      <c r="B626" s="838"/>
      <c r="C626" s="834" t="s">
        <v>962</v>
      </c>
      <c r="D626" s="835"/>
      <c r="E626" s="830" t="s">
        <v>965</v>
      </c>
      <c r="F626" s="831"/>
      <c r="G626" s="831"/>
      <c r="H626" s="835"/>
      <c r="I626" s="835" t="s">
        <v>282</v>
      </c>
      <c r="J626" s="839">
        <v>919.4</v>
      </c>
      <c r="K626" s="839">
        <v>919.4</v>
      </c>
      <c r="L626" s="840">
        <v>1029.5</v>
      </c>
      <c r="M626" s="840">
        <v>1218.7</v>
      </c>
      <c r="N626" s="840">
        <v>1218.7</v>
      </c>
      <c r="O626" s="840">
        <v>1218.7</v>
      </c>
    </row>
    <row r="627" spans="1:16" s="21" customFormat="1" ht="47.4" customHeight="1" x14ac:dyDescent="0.25">
      <c r="A627" s="821"/>
      <c r="B627" s="838"/>
      <c r="C627" s="834" t="s">
        <v>966</v>
      </c>
      <c r="D627" s="835"/>
      <c r="E627" s="830" t="s">
        <v>967</v>
      </c>
      <c r="F627" s="831"/>
      <c r="G627" s="831"/>
      <c r="H627" s="835"/>
      <c r="I627" s="835" t="s">
        <v>33</v>
      </c>
      <c r="J627" s="839">
        <f>22.2+310.4+50.8+9.7+67.5+6+231.9+155.2</f>
        <v>853.7</v>
      </c>
      <c r="K627" s="839">
        <v>853.7</v>
      </c>
      <c r="L627" s="840">
        <v>711.4</v>
      </c>
      <c r="M627" s="840">
        <f>27.2+15+95+40+10+70+488.6</f>
        <v>745.8</v>
      </c>
      <c r="N627" s="840">
        <f>27.2+17+100+50+12+80+493.2</f>
        <v>779.4</v>
      </c>
      <c r="O627" s="840">
        <f>30+20+100+50+15+70.5+530</f>
        <v>815.5</v>
      </c>
      <c r="P627" s="303"/>
    </row>
    <row r="628" spans="1:16" s="21" customFormat="1" ht="26.4" customHeight="1" x14ac:dyDescent="0.25">
      <c r="A628" s="821"/>
      <c r="B628" s="838"/>
      <c r="C628" s="834" t="s">
        <v>968</v>
      </c>
      <c r="D628" s="835"/>
      <c r="E628" s="830" t="s">
        <v>969</v>
      </c>
      <c r="F628" s="831"/>
      <c r="G628" s="831"/>
      <c r="H628" s="835"/>
      <c r="I628" s="835" t="s">
        <v>374</v>
      </c>
      <c r="J628" s="839">
        <v>0</v>
      </c>
      <c r="K628" s="839">
        <v>0</v>
      </c>
      <c r="L628" s="840">
        <v>0</v>
      </c>
      <c r="M628" s="840">
        <v>0</v>
      </c>
      <c r="N628" s="840">
        <v>0</v>
      </c>
      <c r="O628" s="840">
        <v>0</v>
      </c>
      <c r="P628" s="303"/>
    </row>
    <row r="629" spans="1:16" s="21" customFormat="1" ht="24" x14ac:dyDescent="0.25">
      <c r="A629" s="821"/>
      <c r="B629" s="838"/>
      <c r="C629" s="841" t="s">
        <v>286</v>
      </c>
      <c r="D629" s="829" t="s">
        <v>34</v>
      </c>
      <c r="E629" s="842" t="s">
        <v>47</v>
      </c>
      <c r="F629" s="831"/>
      <c r="G629" s="831"/>
      <c r="H629" s="835"/>
      <c r="I629" s="835" t="s">
        <v>35</v>
      </c>
      <c r="J629" s="839">
        <v>12.2</v>
      </c>
      <c r="K629" s="839">
        <v>12.2</v>
      </c>
      <c r="L629" s="840">
        <v>11.9</v>
      </c>
      <c r="M629" s="840">
        <v>24.8</v>
      </c>
      <c r="N629" s="840">
        <v>24.8</v>
      </c>
      <c r="O629" s="840">
        <v>24.8</v>
      </c>
    </row>
    <row r="630" spans="1:16" s="21" customFormat="1" ht="24" x14ac:dyDescent="0.25">
      <c r="A630" s="821"/>
      <c r="B630" s="838"/>
      <c r="C630" s="841" t="s">
        <v>286</v>
      </c>
      <c r="D630" s="829" t="s">
        <v>36</v>
      </c>
      <c r="E630" s="842" t="s">
        <v>47</v>
      </c>
      <c r="F630" s="831"/>
      <c r="G630" s="831"/>
      <c r="H630" s="835"/>
      <c r="I630" s="835" t="s">
        <v>37</v>
      </c>
      <c r="J630" s="839">
        <f>3.1</f>
        <v>3.1</v>
      </c>
      <c r="K630" s="839">
        <v>3.1</v>
      </c>
      <c r="L630" s="840">
        <v>3.1</v>
      </c>
      <c r="M630" s="840">
        <v>3.8</v>
      </c>
      <c r="N630" s="840">
        <v>3.8</v>
      </c>
      <c r="O630" s="840">
        <v>3.8</v>
      </c>
    </row>
    <row r="631" spans="1:16" s="21" customFormat="1" ht="27.6" customHeight="1" x14ac:dyDescent="0.25">
      <c r="A631" s="821"/>
      <c r="B631" s="843"/>
      <c r="C631" s="844" t="s">
        <v>38</v>
      </c>
      <c r="D631" s="845" t="s">
        <v>39</v>
      </c>
      <c r="E631" s="845" t="s">
        <v>40</v>
      </c>
      <c r="F631" s="831"/>
      <c r="G631" s="831"/>
      <c r="H631" s="835"/>
      <c r="I631" s="835" t="s">
        <v>41</v>
      </c>
      <c r="J631" s="840">
        <f>25</f>
        <v>25</v>
      </c>
      <c r="K631" s="840">
        <v>25</v>
      </c>
      <c r="L631" s="840">
        <v>0.1</v>
      </c>
      <c r="M631" s="840">
        <v>1.1000000000000001</v>
      </c>
      <c r="N631" s="840">
        <v>1.1000000000000001</v>
      </c>
      <c r="O631" s="840">
        <v>1.1000000000000001</v>
      </c>
    </row>
    <row r="632" spans="1:16" s="848" customFormat="1" ht="72" hidden="1" customHeight="1" x14ac:dyDescent="0.25">
      <c r="A632" s="821"/>
      <c r="B632" s="828" t="s">
        <v>269</v>
      </c>
      <c r="C632" s="846"/>
      <c r="D632" s="847"/>
      <c r="E632" s="847"/>
      <c r="F632" s="831" t="s">
        <v>114</v>
      </c>
      <c r="G632" s="831" t="s">
        <v>114</v>
      </c>
      <c r="H632" s="831" t="s">
        <v>970</v>
      </c>
      <c r="I632" s="831" t="s">
        <v>768</v>
      </c>
      <c r="J632" s="833">
        <v>0</v>
      </c>
      <c r="K632" s="833">
        <v>0</v>
      </c>
      <c r="L632" s="833">
        <v>0</v>
      </c>
      <c r="M632" s="833">
        <v>0</v>
      </c>
      <c r="N632" s="832">
        <v>0</v>
      </c>
      <c r="O632" s="832">
        <v>0</v>
      </c>
    </row>
    <row r="633" spans="1:16" s="848" customFormat="1" x14ac:dyDescent="0.25">
      <c r="A633" s="821"/>
      <c r="B633" s="849"/>
      <c r="C633" s="850"/>
      <c r="D633" s="851"/>
      <c r="E633" s="851"/>
      <c r="F633" s="831"/>
      <c r="G633" s="831"/>
      <c r="H633" s="831"/>
      <c r="I633" s="835"/>
      <c r="J633" s="833"/>
      <c r="K633" s="833"/>
      <c r="L633" s="833"/>
      <c r="M633" s="833"/>
      <c r="N633" s="832"/>
      <c r="O633" s="832"/>
    </row>
    <row r="634" spans="1:16" s="32" customFormat="1" ht="80.400000000000006" customHeight="1" x14ac:dyDescent="0.25">
      <c r="A634" s="821"/>
      <c r="B634" s="852" t="s">
        <v>951</v>
      </c>
      <c r="C634" s="853" t="s">
        <v>971</v>
      </c>
      <c r="D634" s="854"/>
      <c r="E634" s="830" t="s">
        <v>972</v>
      </c>
      <c r="F634" s="854" t="s">
        <v>114</v>
      </c>
      <c r="G634" s="854" t="s">
        <v>114</v>
      </c>
      <c r="H634" s="854" t="s">
        <v>973</v>
      </c>
      <c r="I634" s="854"/>
      <c r="J634" s="837">
        <f t="shared" ref="J634:O634" si="132">J635</f>
        <v>1218</v>
      </c>
      <c r="K634" s="837">
        <f t="shared" si="132"/>
        <v>1218</v>
      </c>
      <c r="L634" s="833">
        <f>L635</f>
        <v>1497.9</v>
      </c>
      <c r="M634" s="833">
        <f>M635</f>
        <v>1500</v>
      </c>
      <c r="N634" s="833">
        <f>N635</f>
        <v>1645.9</v>
      </c>
      <c r="O634" s="833">
        <f t="shared" si="132"/>
        <v>1718.3</v>
      </c>
    </row>
    <row r="635" spans="1:16" s="21" customFormat="1" ht="34.200000000000003" customHeight="1" x14ac:dyDescent="0.25">
      <c r="A635" s="821"/>
      <c r="B635" s="855"/>
      <c r="C635" s="856" t="s">
        <v>974</v>
      </c>
      <c r="D635" s="857"/>
      <c r="E635" s="830" t="s">
        <v>975</v>
      </c>
      <c r="F635" s="835" t="s">
        <v>114</v>
      </c>
      <c r="G635" s="835" t="s">
        <v>114</v>
      </c>
      <c r="H635" s="835" t="s">
        <v>973</v>
      </c>
      <c r="I635" s="835" t="s">
        <v>685</v>
      </c>
      <c r="J635" s="858">
        <v>1218</v>
      </c>
      <c r="K635" s="858">
        <v>1218</v>
      </c>
      <c r="L635" s="859">
        <v>1497.9</v>
      </c>
      <c r="M635" s="859">
        <v>1500</v>
      </c>
      <c r="N635" s="859">
        <v>1645.9</v>
      </c>
      <c r="O635" s="859">
        <v>1718.3</v>
      </c>
    </row>
    <row r="636" spans="1:16" s="848" customFormat="1" ht="36" hidden="1" x14ac:dyDescent="0.25">
      <c r="A636" s="821"/>
      <c r="B636" s="828" t="s">
        <v>269</v>
      </c>
      <c r="C636" s="860" t="s">
        <v>976</v>
      </c>
      <c r="D636" s="861"/>
      <c r="E636" s="830" t="s">
        <v>977</v>
      </c>
      <c r="F636" s="831" t="s">
        <v>114</v>
      </c>
      <c r="G636" s="831" t="s">
        <v>114</v>
      </c>
      <c r="H636" s="831" t="s">
        <v>973</v>
      </c>
      <c r="I636" s="831" t="s">
        <v>768</v>
      </c>
      <c r="J636" s="832">
        <v>0</v>
      </c>
      <c r="K636" s="832">
        <v>0</v>
      </c>
      <c r="L636" s="833">
        <v>0</v>
      </c>
      <c r="M636" s="833">
        <v>0</v>
      </c>
      <c r="N636" s="832">
        <v>0</v>
      </c>
      <c r="O636" s="832">
        <v>0</v>
      </c>
    </row>
    <row r="637" spans="1:16" s="862" customFormat="1" ht="148.65" hidden="1" customHeight="1" x14ac:dyDescent="0.25">
      <c r="A637" s="821"/>
      <c r="B637" s="828" t="s">
        <v>269</v>
      </c>
      <c r="C637" s="860" t="s">
        <v>978</v>
      </c>
      <c r="D637" s="831"/>
      <c r="E637" s="830" t="s">
        <v>979</v>
      </c>
      <c r="F637" s="831" t="s">
        <v>114</v>
      </c>
      <c r="G637" s="831" t="s">
        <v>114</v>
      </c>
      <c r="H637" s="831" t="s">
        <v>980</v>
      </c>
      <c r="I637" s="831" t="s">
        <v>768</v>
      </c>
      <c r="J637" s="832">
        <v>0</v>
      </c>
      <c r="K637" s="832">
        <v>0</v>
      </c>
      <c r="L637" s="833">
        <v>0</v>
      </c>
      <c r="M637" s="833">
        <v>0</v>
      </c>
      <c r="N637" s="832">
        <v>0</v>
      </c>
      <c r="O637" s="832">
        <v>0</v>
      </c>
    </row>
    <row r="638" spans="1:16" s="32" customFormat="1" ht="409.5" hidden="1" customHeight="1" x14ac:dyDescent="0.25">
      <c r="A638" s="821"/>
      <c r="B638" s="863" t="s">
        <v>981</v>
      </c>
      <c r="C638" s="864" t="s">
        <v>982</v>
      </c>
      <c r="D638" s="865"/>
      <c r="E638" s="866" t="s">
        <v>983</v>
      </c>
      <c r="F638" s="831" t="s">
        <v>984</v>
      </c>
      <c r="G638" s="831" t="s">
        <v>985</v>
      </c>
      <c r="H638" s="831" t="s">
        <v>685</v>
      </c>
      <c r="I638" s="831"/>
      <c r="J638" s="867">
        <v>0</v>
      </c>
      <c r="K638" s="867">
        <v>0</v>
      </c>
      <c r="L638" s="868">
        <v>0</v>
      </c>
      <c r="M638" s="868">
        <f>M639</f>
        <v>118.7</v>
      </c>
      <c r="N638" s="867">
        <f>N639</f>
        <v>124</v>
      </c>
      <c r="O638" s="867">
        <v>0</v>
      </c>
    </row>
    <row r="639" spans="1:16" s="21" customFormat="1" ht="38.4" customHeight="1" x14ac:dyDescent="0.25">
      <c r="A639" s="869"/>
      <c r="B639" s="870"/>
      <c r="C639" s="853" t="s">
        <v>986</v>
      </c>
      <c r="D639" s="865"/>
      <c r="E639" s="830" t="s">
        <v>987</v>
      </c>
      <c r="F639" s="835" t="s">
        <v>114</v>
      </c>
      <c r="G639" s="835" t="s">
        <v>114</v>
      </c>
      <c r="H639" s="835" t="s">
        <v>944</v>
      </c>
      <c r="I639" s="835" t="s">
        <v>685</v>
      </c>
      <c r="J639" s="858">
        <v>0</v>
      </c>
      <c r="K639" s="858">
        <v>0</v>
      </c>
      <c r="L639" s="859">
        <f>10.8+102.1</f>
        <v>112.89999999999999</v>
      </c>
      <c r="M639" s="859">
        <v>118.7</v>
      </c>
      <c r="N639" s="859">
        <v>124</v>
      </c>
      <c r="O639" s="859">
        <v>129.5</v>
      </c>
    </row>
    <row r="640" spans="1:16" ht="45.6" customHeight="1" x14ac:dyDescent="0.25">
      <c r="A640" s="871"/>
      <c r="B640" s="872" t="s">
        <v>988</v>
      </c>
      <c r="C640" s="873" t="s">
        <v>989</v>
      </c>
      <c r="D640" s="874"/>
      <c r="E640" s="875" t="s">
        <v>990</v>
      </c>
      <c r="F640" s="876" t="s">
        <v>114</v>
      </c>
      <c r="G640" s="876" t="s">
        <v>114</v>
      </c>
      <c r="H640" s="876" t="s">
        <v>908</v>
      </c>
      <c r="I640" s="876" t="s">
        <v>685</v>
      </c>
      <c r="J640" s="877">
        <v>17.899999999999999</v>
      </c>
      <c r="K640" s="877">
        <v>17.899999999999999</v>
      </c>
      <c r="L640" s="878">
        <v>389</v>
      </c>
      <c r="M640" s="878">
        <v>408.8</v>
      </c>
      <c r="N640" s="878">
        <v>426.8</v>
      </c>
      <c r="O640" s="878">
        <v>445.6</v>
      </c>
    </row>
    <row r="641" spans="1:15" s="299" customFormat="1" ht="33.75" customHeight="1" x14ac:dyDescent="0.35">
      <c r="A641" s="887" t="s">
        <v>992</v>
      </c>
      <c r="B641" s="887"/>
      <c r="C641" s="887"/>
      <c r="D641" s="887"/>
      <c r="E641" s="887"/>
      <c r="F641" s="887"/>
      <c r="G641" s="887"/>
      <c r="H641" s="887"/>
      <c r="I641" s="887"/>
      <c r="J641" s="888">
        <f>J617+J569+J539+J409+J381+J368+J347+J25+J10</f>
        <v>3515867.9799999995</v>
      </c>
      <c r="K641" s="888">
        <f t="shared" ref="K641:O641" si="133">K617+K569+K539+K409+K381+K368+K347+K25+K10</f>
        <v>3506218.0400000005</v>
      </c>
      <c r="L641" s="888">
        <f t="shared" si="133"/>
        <v>3971764.6</v>
      </c>
      <c r="M641" s="888">
        <f t="shared" si="133"/>
        <v>3729232.6799999997</v>
      </c>
      <c r="N641" s="888">
        <f t="shared" si="133"/>
        <v>3345875.4999999991</v>
      </c>
      <c r="O641" s="888">
        <f t="shared" si="133"/>
        <v>3371296.2999999993</v>
      </c>
    </row>
    <row r="642" spans="1:15" x14ac:dyDescent="0.25">
      <c r="B642" s="1"/>
      <c r="C642" s="1"/>
      <c r="D642" s="1"/>
      <c r="E642" s="1"/>
      <c r="F642" s="1"/>
      <c r="G642" s="1"/>
      <c r="H642" s="1"/>
      <c r="I642" s="1"/>
      <c r="J642" s="1"/>
      <c r="K642" s="1"/>
      <c r="L642" s="1"/>
      <c r="M642" s="1"/>
      <c r="N642" s="1"/>
      <c r="O642" s="1"/>
    </row>
    <row r="643" spans="1:15" x14ac:dyDescent="0.25">
      <c r="B643" s="1"/>
      <c r="C643" s="1"/>
      <c r="D643" s="1"/>
      <c r="E643" s="1"/>
      <c r="F643" s="1"/>
      <c r="G643" s="1"/>
      <c r="H643" s="1"/>
      <c r="I643" s="1"/>
      <c r="J643" s="1"/>
      <c r="K643" s="1"/>
      <c r="L643" s="1"/>
      <c r="M643" s="1"/>
      <c r="N643" s="1"/>
      <c r="O643" s="1"/>
    </row>
    <row r="644" spans="1:15" x14ac:dyDescent="0.25">
      <c r="B644" s="1"/>
      <c r="C644" s="1"/>
      <c r="D644" s="1"/>
      <c r="E644" s="1"/>
      <c r="F644" s="1"/>
      <c r="G644" s="1"/>
      <c r="H644" s="1"/>
      <c r="I644" s="1"/>
      <c r="J644" s="1"/>
      <c r="K644" s="1"/>
      <c r="L644" s="1"/>
      <c r="M644" s="1"/>
      <c r="N644" s="1"/>
      <c r="O644" s="1"/>
    </row>
    <row r="645" spans="1:15" x14ac:dyDescent="0.25">
      <c r="B645" s="1"/>
      <c r="C645" s="1"/>
      <c r="D645" s="1"/>
      <c r="E645" s="1"/>
      <c r="F645" s="1"/>
      <c r="G645" s="1"/>
      <c r="H645" s="1"/>
      <c r="I645" s="1"/>
      <c r="J645" s="1"/>
      <c r="K645" s="1"/>
      <c r="L645" s="1"/>
      <c r="M645" s="1"/>
      <c r="N645" s="1"/>
      <c r="O645" s="1"/>
    </row>
    <row r="646" spans="1:15" x14ac:dyDescent="0.25">
      <c r="B646" s="1"/>
      <c r="C646" s="1"/>
      <c r="D646" s="1"/>
      <c r="E646" s="1"/>
      <c r="F646" s="1"/>
      <c r="G646" s="1"/>
      <c r="H646" s="1"/>
      <c r="I646" s="1"/>
      <c r="J646" s="1"/>
      <c r="K646" s="1"/>
      <c r="L646" s="1"/>
      <c r="M646" s="1"/>
      <c r="N646" s="1"/>
      <c r="O646" s="1"/>
    </row>
    <row r="647" spans="1:15" x14ac:dyDescent="0.25">
      <c r="B647" s="1"/>
      <c r="C647" s="1"/>
      <c r="D647" s="1"/>
      <c r="E647" s="1"/>
      <c r="F647" s="1"/>
      <c r="G647" s="1"/>
      <c r="H647" s="1"/>
      <c r="I647" s="1"/>
      <c r="J647" s="1"/>
      <c r="K647" s="1"/>
      <c r="L647" s="1"/>
      <c r="M647" s="1"/>
      <c r="N647" s="1"/>
      <c r="O647" s="1"/>
    </row>
    <row r="648" spans="1:15" x14ac:dyDescent="0.25">
      <c r="B648" s="1"/>
      <c r="C648" s="1"/>
      <c r="D648" s="1"/>
      <c r="E648" s="1"/>
      <c r="F648" s="1"/>
      <c r="G648" s="1"/>
      <c r="H648" s="1"/>
      <c r="I648" s="1"/>
      <c r="J648" s="1"/>
      <c r="K648" s="1"/>
      <c r="L648" s="1"/>
      <c r="M648" s="1"/>
      <c r="N648" s="1"/>
      <c r="O648" s="1"/>
    </row>
    <row r="649" spans="1:15" x14ac:dyDescent="0.25">
      <c r="B649" s="1"/>
      <c r="C649" s="1"/>
      <c r="D649" s="1"/>
      <c r="E649" s="1"/>
      <c r="F649" s="1"/>
      <c r="G649" s="1"/>
      <c r="H649" s="1"/>
      <c r="I649" s="1"/>
      <c r="J649" s="1"/>
      <c r="K649" s="1"/>
      <c r="L649" s="1"/>
      <c r="M649" s="1"/>
      <c r="N649" s="1"/>
      <c r="O649" s="1"/>
    </row>
    <row r="650" spans="1:15" x14ac:dyDescent="0.25">
      <c r="B650" s="1"/>
      <c r="C650" s="1"/>
      <c r="D650" s="1"/>
      <c r="E650" s="1"/>
      <c r="F650" s="1"/>
      <c r="G650" s="1"/>
      <c r="H650" s="1"/>
      <c r="I650" s="1"/>
      <c r="J650" s="1"/>
      <c r="K650" s="1"/>
      <c r="L650" s="1"/>
      <c r="M650" s="1"/>
      <c r="N650" s="1"/>
      <c r="O650" s="1"/>
    </row>
    <row r="651" spans="1:15" x14ac:dyDescent="0.25">
      <c r="B651" s="1"/>
      <c r="C651" s="1"/>
      <c r="D651" s="1"/>
      <c r="E651" s="1"/>
      <c r="F651" s="1"/>
      <c r="G651" s="1"/>
      <c r="H651" s="1"/>
      <c r="I651" s="1"/>
      <c r="J651" s="1"/>
      <c r="K651" s="1"/>
      <c r="L651" s="1"/>
      <c r="M651" s="1"/>
      <c r="N651" s="1"/>
      <c r="O651" s="1"/>
    </row>
    <row r="652" spans="1:15" x14ac:dyDescent="0.25">
      <c r="B652" s="1"/>
      <c r="C652" s="1"/>
      <c r="D652" s="1"/>
      <c r="E652" s="1"/>
      <c r="F652" s="1"/>
      <c r="G652" s="1"/>
      <c r="H652" s="1"/>
      <c r="I652" s="1"/>
      <c r="J652" s="1"/>
      <c r="K652" s="1"/>
      <c r="L652" s="1"/>
      <c r="M652" s="1"/>
      <c r="N652" s="1"/>
      <c r="O652" s="1"/>
    </row>
    <row r="653" spans="1:15" x14ac:dyDescent="0.25">
      <c r="B653" s="1"/>
      <c r="C653" s="1"/>
      <c r="D653" s="1"/>
      <c r="E653" s="1"/>
      <c r="F653" s="1"/>
      <c r="G653" s="1"/>
      <c r="H653" s="1"/>
      <c r="I653" s="1"/>
      <c r="J653" s="1"/>
      <c r="K653" s="1"/>
      <c r="L653" s="1"/>
      <c r="M653" s="1"/>
      <c r="N653" s="1"/>
      <c r="O653" s="1"/>
    </row>
    <row r="654" spans="1:15" x14ac:dyDescent="0.25">
      <c r="B654" s="1"/>
      <c r="C654" s="1"/>
      <c r="D654" s="1"/>
      <c r="E654" s="1"/>
      <c r="F654" s="1"/>
      <c r="G654" s="1"/>
      <c r="H654" s="1"/>
      <c r="I654" s="1"/>
      <c r="J654" s="1"/>
      <c r="K654" s="1"/>
      <c r="L654" s="1"/>
      <c r="M654" s="1"/>
      <c r="N654" s="1"/>
      <c r="O654" s="1"/>
    </row>
    <row r="655" spans="1:15" x14ac:dyDescent="0.25">
      <c r="B655" s="1"/>
      <c r="C655" s="1"/>
      <c r="D655" s="1"/>
      <c r="E655" s="1"/>
      <c r="F655" s="1"/>
      <c r="G655" s="1"/>
      <c r="H655" s="1"/>
      <c r="I655" s="1"/>
      <c r="J655" s="1"/>
      <c r="K655" s="1"/>
      <c r="L655" s="1"/>
      <c r="M655" s="1"/>
      <c r="N655" s="1"/>
      <c r="O655" s="1"/>
    </row>
    <row r="656" spans="1:15" x14ac:dyDescent="0.25">
      <c r="B656" s="1"/>
      <c r="C656" s="1"/>
      <c r="D656" s="1"/>
      <c r="E656" s="1"/>
      <c r="F656" s="1"/>
      <c r="G656" s="1"/>
      <c r="H656" s="1"/>
      <c r="I656" s="1"/>
      <c r="J656" s="1"/>
      <c r="K656" s="1"/>
      <c r="L656" s="1"/>
      <c r="M656" s="1"/>
      <c r="N656" s="1"/>
      <c r="O656" s="1"/>
    </row>
    <row r="657" spans="2:15" x14ac:dyDescent="0.25">
      <c r="B657" s="1"/>
      <c r="C657" s="1"/>
      <c r="D657" s="1"/>
      <c r="E657" s="1"/>
      <c r="F657" s="1"/>
      <c r="G657" s="1"/>
      <c r="H657" s="1"/>
      <c r="I657" s="1"/>
      <c r="J657" s="1"/>
      <c r="K657" s="1"/>
      <c r="L657" s="1"/>
      <c r="M657" s="1"/>
      <c r="N657" s="1"/>
      <c r="O657" s="1"/>
    </row>
    <row r="658" spans="2:15" x14ac:dyDescent="0.25">
      <c r="B658" s="1"/>
      <c r="C658" s="1"/>
      <c r="D658" s="1"/>
      <c r="E658" s="1"/>
      <c r="F658" s="1"/>
      <c r="G658" s="1"/>
      <c r="H658" s="1"/>
      <c r="I658" s="1"/>
      <c r="J658" s="1"/>
      <c r="K658" s="1"/>
      <c r="L658" s="1"/>
      <c r="M658" s="1"/>
      <c r="N658" s="1"/>
      <c r="O658" s="1"/>
    </row>
    <row r="659" spans="2:15" x14ac:dyDescent="0.25">
      <c r="B659" s="1"/>
      <c r="C659" s="1"/>
      <c r="D659" s="1"/>
      <c r="E659" s="1"/>
      <c r="F659" s="1"/>
      <c r="G659" s="1"/>
      <c r="H659" s="1"/>
      <c r="I659" s="1"/>
      <c r="J659" s="1"/>
      <c r="K659" s="1"/>
      <c r="L659" s="1"/>
      <c r="M659" s="1"/>
      <c r="N659" s="1"/>
      <c r="O659" s="1"/>
    </row>
    <row r="660" spans="2:15" x14ac:dyDescent="0.25">
      <c r="B660" s="1"/>
      <c r="C660" s="1"/>
      <c r="D660" s="1"/>
      <c r="E660" s="1"/>
      <c r="F660" s="1"/>
      <c r="G660" s="1"/>
      <c r="H660" s="1"/>
      <c r="I660" s="1"/>
      <c r="J660" s="1"/>
      <c r="K660" s="1"/>
      <c r="L660" s="1"/>
      <c r="M660" s="1"/>
      <c r="N660" s="1"/>
      <c r="O660" s="1"/>
    </row>
    <row r="661" spans="2:15" x14ac:dyDescent="0.25">
      <c r="B661" s="1"/>
      <c r="C661" s="1"/>
      <c r="D661" s="1"/>
      <c r="E661" s="1"/>
      <c r="F661" s="1"/>
      <c r="G661" s="1"/>
      <c r="H661" s="1"/>
      <c r="I661" s="1"/>
      <c r="J661" s="1"/>
      <c r="K661" s="1"/>
      <c r="L661" s="1"/>
      <c r="M661" s="1"/>
      <c r="N661" s="1"/>
      <c r="O661" s="1"/>
    </row>
    <row r="662" spans="2:15" x14ac:dyDescent="0.25">
      <c r="B662" s="1"/>
      <c r="C662" s="1"/>
      <c r="D662" s="1"/>
      <c r="E662" s="1"/>
      <c r="F662" s="1"/>
      <c r="G662" s="1"/>
      <c r="H662" s="1"/>
      <c r="I662" s="1"/>
      <c r="J662" s="1"/>
      <c r="K662" s="1"/>
      <c r="L662" s="1"/>
      <c r="M662" s="1"/>
      <c r="N662" s="1"/>
      <c r="O662" s="1"/>
    </row>
    <row r="663" spans="2:15" x14ac:dyDescent="0.25">
      <c r="B663" s="1"/>
      <c r="C663" s="1"/>
      <c r="D663" s="1"/>
      <c r="E663" s="1"/>
      <c r="F663" s="1"/>
      <c r="G663" s="1"/>
      <c r="H663" s="1"/>
      <c r="I663" s="1"/>
      <c r="J663" s="1"/>
      <c r="K663" s="1"/>
      <c r="L663" s="1"/>
      <c r="M663" s="1"/>
      <c r="N663" s="1"/>
      <c r="O663" s="1"/>
    </row>
    <row r="664" spans="2:15" x14ac:dyDescent="0.25">
      <c r="B664" s="1"/>
      <c r="C664" s="1"/>
      <c r="D664" s="1"/>
      <c r="E664" s="1"/>
      <c r="F664" s="1"/>
      <c r="G664" s="1"/>
      <c r="H664" s="1"/>
      <c r="I664" s="1"/>
      <c r="J664" s="1"/>
      <c r="K664" s="1"/>
      <c r="L664" s="1"/>
      <c r="M664" s="1"/>
      <c r="N664" s="1"/>
      <c r="O664" s="1"/>
    </row>
    <row r="665" spans="2:15" x14ac:dyDescent="0.25">
      <c r="B665" s="1"/>
      <c r="C665" s="1"/>
      <c r="D665" s="1"/>
      <c r="E665" s="1"/>
      <c r="F665" s="1"/>
      <c r="G665" s="1"/>
      <c r="H665" s="1"/>
      <c r="I665" s="1"/>
      <c r="J665" s="1"/>
      <c r="K665" s="1"/>
      <c r="L665" s="1"/>
      <c r="M665" s="1"/>
      <c r="N665" s="1"/>
      <c r="O665" s="1"/>
    </row>
    <row r="666" spans="2:15" x14ac:dyDescent="0.25">
      <c r="B666" s="1"/>
      <c r="C666" s="1"/>
      <c r="D666" s="1"/>
      <c r="E666" s="1"/>
      <c r="F666" s="1"/>
      <c r="G666" s="1"/>
      <c r="H666" s="1"/>
      <c r="I666" s="1"/>
      <c r="J666" s="1"/>
      <c r="K666" s="1"/>
      <c r="L666" s="1"/>
      <c r="M666" s="1"/>
      <c r="N666" s="1"/>
      <c r="O666" s="1"/>
    </row>
    <row r="667" spans="2:15" x14ac:dyDescent="0.25">
      <c r="B667" s="1"/>
      <c r="C667" s="1"/>
      <c r="D667" s="1"/>
      <c r="E667" s="1"/>
      <c r="F667" s="1"/>
      <c r="G667" s="1"/>
      <c r="H667" s="1"/>
      <c r="I667" s="1"/>
      <c r="J667" s="1"/>
      <c r="K667" s="1"/>
      <c r="L667" s="1"/>
      <c r="M667" s="1"/>
      <c r="N667" s="1"/>
      <c r="O667" s="1"/>
    </row>
    <row r="668" spans="2:15" x14ac:dyDescent="0.25">
      <c r="B668" s="1"/>
      <c r="C668" s="1"/>
      <c r="D668" s="1"/>
      <c r="E668" s="1"/>
      <c r="F668" s="1"/>
      <c r="G668" s="1"/>
      <c r="H668" s="1"/>
      <c r="I668" s="1"/>
      <c r="J668" s="1"/>
      <c r="K668" s="1"/>
      <c r="L668" s="1"/>
      <c r="M668" s="1"/>
      <c r="N668" s="1"/>
      <c r="O668" s="1"/>
    </row>
    <row r="669" spans="2:15" x14ac:dyDescent="0.25">
      <c r="B669" s="1"/>
      <c r="C669" s="1"/>
      <c r="D669" s="1"/>
      <c r="E669" s="1"/>
      <c r="F669" s="1"/>
      <c r="G669" s="1"/>
      <c r="H669" s="1"/>
      <c r="I669" s="1"/>
      <c r="J669" s="1"/>
      <c r="K669" s="1"/>
      <c r="L669" s="1"/>
      <c r="M669" s="1"/>
      <c r="N669" s="1"/>
      <c r="O669" s="1"/>
    </row>
    <row r="670" spans="2:15" x14ac:dyDescent="0.25">
      <c r="B670" s="1"/>
      <c r="C670" s="1"/>
      <c r="D670" s="1"/>
      <c r="E670" s="1"/>
      <c r="F670" s="1"/>
      <c r="G670" s="1"/>
      <c r="H670" s="1"/>
      <c r="I670" s="1"/>
      <c r="J670" s="1"/>
      <c r="K670" s="1"/>
      <c r="L670" s="1"/>
      <c r="M670" s="1"/>
      <c r="N670" s="1"/>
      <c r="O670" s="1"/>
    </row>
    <row r="671" spans="2:15" x14ac:dyDescent="0.25">
      <c r="B671" s="1"/>
      <c r="C671" s="1"/>
      <c r="D671" s="1"/>
      <c r="E671" s="1"/>
      <c r="F671" s="1"/>
      <c r="G671" s="1"/>
      <c r="H671" s="1"/>
      <c r="I671" s="1"/>
      <c r="J671" s="1"/>
      <c r="K671" s="1"/>
      <c r="L671" s="1"/>
      <c r="M671" s="1"/>
      <c r="N671" s="1"/>
      <c r="O671" s="1"/>
    </row>
    <row r="672" spans="2:15" x14ac:dyDescent="0.25">
      <c r="B672" s="1"/>
      <c r="C672" s="1"/>
      <c r="D672" s="1"/>
      <c r="E672" s="1"/>
      <c r="F672" s="1"/>
      <c r="G672" s="1"/>
      <c r="H672" s="1"/>
      <c r="I672" s="1"/>
      <c r="J672" s="1"/>
      <c r="K672" s="1"/>
      <c r="L672" s="1"/>
      <c r="M672" s="1"/>
      <c r="N672" s="1"/>
      <c r="O672" s="1"/>
    </row>
    <row r="673" spans="2:15" x14ac:dyDescent="0.25">
      <c r="B673" s="1"/>
      <c r="C673" s="1"/>
      <c r="D673" s="1"/>
      <c r="E673" s="1"/>
      <c r="F673" s="1"/>
      <c r="G673" s="1"/>
      <c r="H673" s="1"/>
      <c r="I673" s="1"/>
      <c r="J673" s="1"/>
      <c r="K673" s="1"/>
      <c r="L673" s="1"/>
      <c r="M673" s="1"/>
      <c r="N673" s="1"/>
      <c r="O673" s="1"/>
    </row>
    <row r="674" spans="2:15" x14ac:dyDescent="0.25">
      <c r="B674" s="1"/>
      <c r="C674" s="1"/>
      <c r="D674" s="1"/>
      <c r="E674" s="1"/>
      <c r="F674" s="1"/>
      <c r="G674" s="1"/>
      <c r="H674" s="1"/>
      <c r="I674" s="1"/>
      <c r="J674" s="1"/>
      <c r="K674" s="1"/>
      <c r="L674" s="1"/>
      <c r="M674" s="1"/>
      <c r="N674" s="1"/>
      <c r="O674" s="1"/>
    </row>
    <row r="675" spans="2:15" x14ac:dyDescent="0.25">
      <c r="B675" s="1"/>
      <c r="C675" s="1"/>
      <c r="D675" s="1"/>
      <c r="E675" s="1"/>
      <c r="F675" s="1"/>
      <c r="G675" s="1"/>
      <c r="H675" s="1"/>
      <c r="I675" s="1"/>
      <c r="J675" s="1"/>
      <c r="K675" s="1"/>
      <c r="L675" s="1"/>
      <c r="M675" s="1"/>
      <c r="N675" s="1"/>
      <c r="O675" s="1"/>
    </row>
    <row r="676" spans="2:15" x14ac:dyDescent="0.25">
      <c r="B676" s="1"/>
      <c r="C676" s="1"/>
      <c r="D676" s="1"/>
      <c r="E676" s="1"/>
      <c r="F676" s="1"/>
      <c r="G676" s="1"/>
      <c r="H676" s="1"/>
      <c r="I676" s="1"/>
      <c r="J676" s="1"/>
      <c r="K676" s="1"/>
      <c r="L676" s="1"/>
      <c r="M676" s="1"/>
      <c r="N676" s="1"/>
      <c r="O676" s="1"/>
    </row>
    <row r="677" spans="2:15" x14ac:dyDescent="0.25">
      <c r="B677" s="1"/>
      <c r="C677" s="1"/>
      <c r="D677" s="1"/>
      <c r="E677" s="1"/>
      <c r="F677" s="1"/>
      <c r="G677" s="1"/>
      <c r="H677" s="1"/>
      <c r="I677" s="1"/>
      <c r="J677" s="1"/>
      <c r="K677" s="1"/>
      <c r="L677" s="1"/>
      <c r="M677" s="1"/>
      <c r="N677" s="1"/>
      <c r="O677" s="1"/>
    </row>
    <row r="678" spans="2:15" x14ac:dyDescent="0.25">
      <c r="B678" s="1"/>
      <c r="C678" s="1"/>
      <c r="D678" s="1"/>
      <c r="E678" s="1"/>
      <c r="F678" s="1"/>
      <c r="G678" s="1"/>
      <c r="H678" s="1"/>
      <c r="I678" s="1"/>
      <c r="J678" s="1"/>
      <c r="K678" s="1"/>
      <c r="L678" s="1"/>
      <c r="M678" s="1"/>
      <c r="N678" s="1"/>
      <c r="O678" s="1"/>
    </row>
    <row r="679" spans="2:15" x14ac:dyDescent="0.25">
      <c r="B679" s="1"/>
      <c r="C679" s="1"/>
      <c r="D679" s="1"/>
      <c r="E679" s="1"/>
      <c r="F679" s="1"/>
      <c r="G679" s="1"/>
      <c r="H679" s="1"/>
      <c r="I679" s="1"/>
      <c r="J679" s="1"/>
      <c r="K679" s="1"/>
      <c r="L679" s="1"/>
      <c r="M679" s="1"/>
      <c r="N679" s="1"/>
      <c r="O679" s="1"/>
    </row>
    <row r="680" spans="2:15" x14ac:dyDescent="0.25">
      <c r="B680" s="1"/>
      <c r="C680" s="1"/>
      <c r="D680" s="1"/>
      <c r="E680" s="1"/>
      <c r="F680" s="1"/>
      <c r="G680" s="1"/>
      <c r="H680" s="1"/>
      <c r="I680" s="1"/>
      <c r="J680" s="1"/>
      <c r="K680" s="1"/>
      <c r="L680" s="1"/>
      <c r="M680" s="1"/>
      <c r="N680" s="1"/>
      <c r="O680" s="1"/>
    </row>
    <row r="681" spans="2:15" x14ac:dyDescent="0.25">
      <c r="B681" s="1"/>
      <c r="C681" s="1"/>
      <c r="D681" s="1"/>
      <c r="E681" s="1"/>
      <c r="F681" s="1"/>
      <c r="G681" s="1"/>
      <c r="H681" s="1"/>
      <c r="I681" s="1"/>
      <c r="J681" s="1"/>
      <c r="K681" s="1"/>
      <c r="L681" s="1"/>
      <c r="M681" s="1"/>
      <c r="N681" s="1"/>
      <c r="O681" s="1"/>
    </row>
    <row r="682" spans="2:15" x14ac:dyDescent="0.25">
      <c r="B682" s="1"/>
      <c r="C682" s="1"/>
      <c r="D682" s="1"/>
      <c r="E682" s="1"/>
      <c r="F682" s="1"/>
      <c r="G682" s="1"/>
      <c r="H682" s="1"/>
      <c r="I682" s="1"/>
      <c r="J682" s="1"/>
      <c r="K682" s="1"/>
      <c r="L682" s="1"/>
      <c r="M682" s="1"/>
      <c r="N682" s="1"/>
      <c r="O682" s="1"/>
    </row>
    <row r="683" spans="2:15" x14ac:dyDescent="0.25">
      <c r="B683" s="1"/>
      <c r="C683" s="1"/>
      <c r="D683" s="1"/>
      <c r="E683" s="1"/>
      <c r="F683" s="1"/>
      <c r="G683" s="1"/>
      <c r="H683" s="1"/>
      <c r="I683" s="1"/>
      <c r="J683" s="1"/>
      <c r="K683" s="1"/>
      <c r="L683" s="1"/>
      <c r="M683" s="1"/>
      <c r="N683" s="1"/>
      <c r="O683" s="1"/>
    </row>
    <row r="684" spans="2:15" x14ac:dyDescent="0.25">
      <c r="B684" s="1"/>
      <c r="C684" s="1"/>
      <c r="D684" s="1"/>
      <c r="E684" s="1"/>
      <c r="F684" s="1"/>
      <c r="G684" s="1"/>
      <c r="H684" s="1"/>
      <c r="I684" s="1"/>
      <c r="J684" s="1"/>
      <c r="K684" s="1"/>
      <c r="L684" s="1"/>
      <c r="M684" s="1"/>
      <c r="N684" s="1"/>
      <c r="O684" s="1"/>
    </row>
    <row r="685" spans="2:15" x14ac:dyDescent="0.25">
      <c r="B685" s="1"/>
      <c r="C685" s="1"/>
      <c r="D685" s="1"/>
      <c r="E685" s="1"/>
      <c r="F685" s="1"/>
      <c r="G685" s="1"/>
      <c r="H685" s="1"/>
      <c r="I685" s="1"/>
      <c r="J685" s="1"/>
      <c r="K685" s="1"/>
      <c r="L685" s="1"/>
      <c r="M685" s="1"/>
      <c r="N685" s="1"/>
      <c r="O685" s="1"/>
    </row>
    <row r="686" spans="2:15" x14ac:dyDescent="0.25">
      <c r="B686" s="1"/>
      <c r="C686" s="1"/>
      <c r="D686" s="1"/>
      <c r="E686" s="1"/>
      <c r="F686" s="1"/>
      <c r="G686" s="1"/>
      <c r="H686" s="1"/>
      <c r="I686" s="1"/>
      <c r="J686" s="1"/>
      <c r="K686" s="1"/>
      <c r="L686" s="1"/>
      <c r="M686" s="1"/>
      <c r="N686" s="1"/>
      <c r="O686" s="1"/>
    </row>
    <row r="687" spans="2:15" x14ac:dyDescent="0.25">
      <c r="B687" s="1"/>
      <c r="C687" s="1"/>
      <c r="D687" s="1"/>
      <c r="E687" s="1"/>
      <c r="F687" s="1"/>
      <c r="G687" s="1"/>
      <c r="H687" s="1"/>
      <c r="I687" s="1"/>
      <c r="J687" s="1"/>
      <c r="K687" s="1"/>
      <c r="L687" s="1"/>
      <c r="M687" s="1"/>
      <c r="N687" s="1"/>
      <c r="O687" s="1"/>
    </row>
    <row r="688" spans="2:15" x14ac:dyDescent="0.25">
      <c r="B688" s="1"/>
      <c r="C688" s="1"/>
      <c r="D688" s="1"/>
      <c r="E688" s="1"/>
      <c r="F688" s="1"/>
      <c r="G688" s="1"/>
      <c r="H688" s="1"/>
      <c r="I688" s="1"/>
      <c r="J688" s="1"/>
      <c r="K688" s="1"/>
      <c r="L688" s="1"/>
      <c r="M688" s="1"/>
      <c r="N688" s="1"/>
      <c r="O688" s="1"/>
    </row>
    <row r="689" spans="2:15" x14ac:dyDescent="0.25">
      <c r="B689" s="1"/>
      <c r="C689" s="1"/>
      <c r="D689" s="1"/>
      <c r="E689" s="1"/>
      <c r="F689" s="1"/>
      <c r="G689" s="1"/>
      <c r="H689" s="1"/>
      <c r="I689" s="1"/>
      <c r="J689" s="1"/>
      <c r="K689" s="1"/>
      <c r="L689" s="1"/>
      <c r="M689" s="1"/>
      <c r="N689" s="1"/>
      <c r="O689" s="1"/>
    </row>
    <row r="690" spans="2:15" x14ac:dyDescent="0.25">
      <c r="B690" s="1"/>
      <c r="C690" s="1"/>
      <c r="D690" s="1"/>
      <c r="E690" s="1"/>
      <c r="F690" s="1"/>
      <c r="G690" s="1"/>
      <c r="H690" s="1"/>
      <c r="I690" s="1"/>
      <c r="J690" s="1"/>
      <c r="K690" s="1"/>
      <c r="L690" s="1"/>
      <c r="M690" s="1"/>
      <c r="N690" s="1"/>
      <c r="O690" s="1"/>
    </row>
    <row r="691" spans="2:15" x14ac:dyDescent="0.25">
      <c r="B691" s="1"/>
      <c r="C691" s="1"/>
      <c r="D691" s="1"/>
      <c r="E691" s="1"/>
      <c r="F691" s="1"/>
      <c r="G691" s="1"/>
      <c r="H691" s="1"/>
      <c r="I691" s="1"/>
      <c r="J691" s="1"/>
      <c r="K691" s="1"/>
      <c r="L691" s="1"/>
      <c r="M691" s="1"/>
      <c r="N691" s="1"/>
      <c r="O691" s="1"/>
    </row>
    <row r="692" spans="2:15" x14ac:dyDescent="0.25">
      <c r="B692" s="1"/>
      <c r="C692" s="1"/>
      <c r="D692" s="1"/>
      <c r="E692" s="1"/>
      <c r="F692" s="1"/>
      <c r="G692" s="1"/>
      <c r="H692" s="1"/>
      <c r="I692" s="1"/>
      <c r="J692" s="1"/>
      <c r="K692" s="1"/>
      <c r="L692" s="1"/>
      <c r="M692" s="1"/>
      <c r="N692" s="1"/>
      <c r="O692" s="1"/>
    </row>
    <row r="693" spans="2:15" x14ac:dyDescent="0.25">
      <c r="B693" s="1"/>
      <c r="C693" s="1"/>
      <c r="D693" s="1"/>
      <c r="E693" s="1"/>
      <c r="F693" s="1"/>
      <c r="G693" s="1"/>
      <c r="H693" s="1"/>
      <c r="I693" s="1"/>
      <c r="J693" s="1"/>
      <c r="K693" s="1"/>
      <c r="L693" s="1"/>
      <c r="M693" s="1"/>
      <c r="N693" s="1"/>
      <c r="O693" s="1"/>
    </row>
    <row r="694" spans="2:15" x14ac:dyDescent="0.25">
      <c r="B694" s="1"/>
      <c r="C694" s="1"/>
      <c r="D694" s="1"/>
      <c r="E694" s="1"/>
      <c r="F694" s="1"/>
      <c r="G694" s="1"/>
      <c r="H694" s="1"/>
      <c r="I694" s="1"/>
      <c r="J694" s="1"/>
      <c r="K694" s="1"/>
      <c r="L694" s="1"/>
      <c r="M694" s="1"/>
      <c r="N694" s="1"/>
      <c r="O694" s="1"/>
    </row>
    <row r="695" spans="2:15" x14ac:dyDescent="0.25">
      <c r="B695" s="1"/>
      <c r="C695" s="1"/>
      <c r="D695" s="1"/>
      <c r="E695" s="1"/>
      <c r="F695" s="1"/>
      <c r="G695" s="1"/>
      <c r="H695" s="1"/>
      <c r="I695" s="1"/>
      <c r="J695" s="1"/>
      <c r="K695" s="1"/>
      <c r="L695" s="1"/>
      <c r="M695" s="1"/>
      <c r="N695" s="1"/>
      <c r="O695" s="1"/>
    </row>
    <row r="696" spans="2:15" x14ac:dyDescent="0.25">
      <c r="B696" s="1"/>
      <c r="C696" s="1"/>
      <c r="D696" s="1"/>
      <c r="E696" s="1"/>
      <c r="F696" s="1"/>
      <c r="G696" s="1"/>
      <c r="H696" s="1"/>
      <c r="I696" s="1"/>
      <c r="J696" s="1"/>
      <c r="K696" s="1"/>
      <c r="L696" s="1"/>
      <c r="M696" s="1"/>
      <c r="N696" s="1"/>
      <c r="O696" s="1"/>
    </row>
    <row r="697" spans="2:15" x14ac:dyDescent="0.25">
      <c r="B697" s="1"/>
      <c r="C697" s="1"/>
      <c r="D697" s="1"/>
      <c r="E697" s="1"/>
      <c r="F697" s="1"/>
      <c r="G697" s="1"/>
      <c r="H697" s="1"/>
      <c r="I697" s="1"/>
      <c r="J697" s="1"/>
      <c r="K697" s="1"/>
      <c r="L697" s="1"/>
      <c r="M697" s="1"/>
      <c r="N697" s="1"/>
      <c r="O697" s="1"/>
    </row>
    <row r="698" spans="2:15" x14ac:dyDescent="0.25">
      <c r="B698" s="1"/>
      <c r="C698" s="1"/>
      <c r="D698" s="1"/>
      <c r="E698" s="1"/>
      <c r="F698" s="1"/>
      <c r="G698" s="1"/>
      <c r="H698" s="1"/>
      <c r="I698" s="1"/>
      <c r="J698" s="1"/>
      <c r="K698" s="1"/>
      <c r="L698" s="1"/>
      <c r="M698" s="1"/>
      <c r="N698" s="1"/>
      <c r="O698" s="1"/>
    </row>
    <row r="699" spans="2:15" x14ac:dyDescent="0.25">
      <c r="B699" s="1"/>
      <c r="C699" s="1"/>
      <c r="D699" s="1"/>
      <c r="E699" s="1"/>
      <c r="F699" s="1"/>
      <c r="G699" s="1"/>
      <c r="H699" s="1"/>
      <c r="I699" s="1"/>
      <c r="J699" s="1"/>
      <c r="K699" s="1"/>
      <c r="L699" s="1"/>
      <c r="M699" s="1"/>
      <c r="N699" s="1"/>
      <c r="O699" s="1"/>
    </row>
    <row r="700" spans="2:15" x14ac:dyDescent="0.25">
      <c r="B700" s="1"/>
      <c r="C700" s="1"/>
      <c r="D700" s="1"/>
      <c r="E700" s="1"/>
      <c r="F700" s="1"/>
      <c r="G700" s="1"/>
      <c r="H700" s="1"/>
      <c r="I700" s="1"/>
      <c r="J700" s="1"/>
      <c r="K700" s="1"/>
      <c r="L700" s="1"/>
      <c r="M700" s="1"/>
      <c r="N700" s="1"/>
      <c r="O700" s="1"/>
    </row>
    <row r="701" spans="2:15" x14ac:dyDescent="0.25">
      <c r="B701" s="1"/>
      <c r="C701" s="1"/>
      <c r="D701" s="1"/>
      <c r="E701" s="1"/>
      <c r="F701" s="1"/>
      <c r="G701" s="1"/>
      <c r="H701" s="1"/>
      <c r="I701" s="1"/>
      <c r="J701" s="1"/>
      <c r="K701" s="1"/>
      <c r="L701" s="1"/>
      <c r="M701" s="1"/>
      <c r="N701" s="1"/>
      <c r="O701" s="1"/>
    </row>
    <row r="702" spans="2:15" x14ac:dyDescent="0.25">
      <c r="B702" s="1"/>
      <c r="C702" s="1"/>
      <c r="D702" s="1"/>
      <c r="E702" s="1"/>
      <c r="F702" s="1"/>
      <c r="G702" s="1"/>
      <c r="H702" s="1"/>
      <c r="I702" s="1"/>
      <c r="J702" s="1"/>
      <c r="K702" s="1"/>
      <c r="L702" s="1"/>
      <c r="M702" s="1"/>
      <c r="N702" s="1"/>
      <c r="O702" s="1"/>
    </row>
    <row r="703" spans="2:15" x14ac:dyDescent="0.25">
      <c r="B703" s="1"/>
      <c r="C703" s="1"/>
      <c r="D703" s="1"/>
      <c r="E703" s="1"/>
      <c r="F703" s="1"/>
      <c r="G703" s="1"/>
      <c r="H703" s="1"/>
      <c r="I703" s="1"/>
      <c r="J703" s="1"/>
      <c r="K703" s="1"/>
      <c r="L703" s="1"/>
      <c r="M703" s="1"/>
      <c r="N703" s="1"/>
      <c r="O703" s="1"/>
    </row>
    <row r="704" spans="2:15" x14ac:dyDescent="0.25">
      <c r="B704" s="1"/>
      <c r="C704" s="1"/>
      <c r="D704" s="1"/>
      <c r="E704" s="1"/>
      <c r="F704" s="1"/>
      <c r="G704" s="1"/>
      <c r="H704" s="1"/>
      <c r="I704" s="1"/>
      <c r="J704" s="1"/>
      <c r="K704" s="1"/>
      <c r="L704" s="1"/>
      <c r="M704" s="1"/>
      <c r="N704" s="1"/>
      <c r="O704" s="1"/>
    </row>
    <row r="705" spans="2:15" x14ac:dyDescent="0.25">
      <c r="B705" s="1"/>
      <c r="C705" s="1"/>
      <c r="D705" s="1"/>
      <c r="E705" s="1"/>
      <c r="F705" s="1"/>
      <c r="G705" s="1"/>
      <c r="H705" s="1"/>
      <c r="I705" s="1"/>
      <c r="J705" s="1"/>
      <c r="K705" s="1"/>
      <c r="L705" s="1"/>
      <c r="M705" s="1"/>
      <c r="N705" s="1"/>
      <c r="O705" s="1"/>
    </row>
    <row r="706" spans="2:15" x14ac:dyDescent="0.25">
      <c r="B706" s="1"/>
      <c r="C706" s="1"/>
      <c r="D706" s="1"/>
      <c r="E706" s="1"/>
      <c r="F706" s="1"/>
      <c r="G706" s="1"/>
      <c r="H706" s="1"/>
      <c r="I706" s="1"/>
      <c r="J706" s="1"/>
      <c r="K706" s="1"/>
      <c r="L706" s="1"/>
      <c r="M706" s="1"/>
      <c r="N706" s="1"/>
      <c r="O706" s="1"/>
    </row>
    <row r="707" spans="2:15" x14ac:dyDescent="0.25">
      <c r="B707" s="1"/>
      <c r="C707" s="1"/>
      <c r="D707" s="1"/>
      <c r="E707" s="1"/>
      <c r="F707" s="1"/>
      <c r="G707" s="1"/>
      <c r="H707" s="1"/>
      <c r="I707" s="1"/>
      <c r="J707" s="1"/>
      <c r="K707" s="1"/>
      <c r="L707" s="1"/>
      <c r="M707" s="1"/>
      <c r="N707" s="1"/>
      <c r="O707" s="1"/>
    </row>
    <row r="708" spans="2:15" x14ac:dyDescent="0.25">
      <c r="B708" s="1"/>
      <c r="C708" s="1"/>
      <c r="D708" s="1"/>
      <c r="E708" s="1"/>
      <c r="F708" s="1"/>
      <c r="G708" s="1"/>
      <c r="H708" s="1"/>
      <c r="I708" s="1"/>
      <c r="J708" s="1"/>
      <c r="K708" s="1"/>
      <c r="L708" s="1"/>
      <c r="M708" s="1"/>
      <c r="N708" s="1"/>
      <c r="O708" s="1"/>
    </row>
    <row r="709" spans="2:15" x14ac:dyDescent="0.25">
      <c r="B709" s="1"/>
      <c r="C709" s="1"/>
      <c r="D709" s="1"/>
      <c r="E709" s="1"/>
      <c r="F709" s="1"/>
      <c r="G709" s="1"/>
      <c r="H709" s="1"/>
      <c r="I709" s="1"/>
      <c r="J709" s="1"/>
      <c r="K709" s="1"/>
      <c r="L709" s="1"/>
      <c r="M709" s="1"/>
      <c r="N709" s="1"/>
      <c r="O709" s="1"/>
    </row>
    <row r="710" spans="2:15" x14ac:dyDescent="0.25">
      <c r="B710" s="1"/>
      <c r="C710" s="1"/>
      <c r="D710" s="1"/>
      <c r="E710" s="1"/>
      <c r="F710" s="1"/>
      <c r="G710" s="1"/>
      <c r="H710" s="1"/>
      <c r="I710" s="1"/>
      <c r="J710" s="1"/>
      <c r="K710" s="1"/>
      <c r="L710" s="1"/>
      <c r="M710" s="1"/>
      <c r="N710" s="1"/>
      <c r="O710" s="1"/>
    </row>
    <row r="711" spans="2:15" x14ac:dyDescent="0.25">
      <c r="B711" s="1"/>
      <c r="C711" s="1"/>
      <c r="D711" s="1"/>
      <c r="E711" s="1"/>
      <c r="F711" s="1"/>
      <c r="G711" s="1"/>
      <c r="H711" s="1"/>
      <c r="I711" s="1"/>
      <c r="J711" s="1"/>
      <c r="K711" s="1"/>
      <c r="L711" s="1"/>
      <c r="M711" s="1"/>
      <c r="N711" s="1"/>
      <c r="O711" s="1"/>
    </row>
    <row r="712" spans="2:15" x14ac:dyDescent="0.25">
      <c r="B712" s="1"/>
      <c r="C712" s="1"/>
      <c r="D712" s="1"/>
      <c r="E712" s="1"/>
      <c r="F712" s="1"/>
      <c r="G712" s="1"/>
      <c r="H712" s="1"/>
      <c r="I712" s="1"/>
      <c r="J712" s="1"/>
      <c r="K712" s="1"/>
      <c r="L712" s="1"/>
      <c r="M712" s="1"/>
      <c r="N712" s="1"/>
      <c r="O712" s="1"/>
    </row>
    <row r="713" spans="2:15" x14ac:dyDescent="0.25">
      <c r="B713" s="1"/>
      <c r="C713" s="1"/>
      <c r="D713" s="1"/>
      <c r="E713" s="1"/>
      <c r="F713" s="1"/>
      <c r="G713" s="1"/>
      <c r="H713" s="1"/>
      <c r="I713" s="1"/>
      <c r="J713" s="1"/>
      <c r="K713" s="1"/>
      <c r="L713" s="1"/>
      <c r="M713" s="1"/>
      <c r="N713" s="1"/>
      <c r="O713" s="1"/>
    </row>
    <row r="714" spans="2:15" x14ac:dyDescent="0.25">
      <c r="B714" s="1"/>
      <c r="C714" s="1"/>
      <c r="D714" s="1"/>
      <c r="E714" s="1"/>
      <c r="F714" s="1"/>
      <c r="G714" s="1"/>
      <c r="H714" s="1"/>
      <c r="I714" s="1"/>
      <c r="J714" s="1"/>
      <c r="K714" s="1"/>
      <c r="L714" s="1"/>
      <c r="M714" s="1"/>
      <c r="N714" s="1"/>
      <c r="O714" s="1"/>
    </row>
    <row r="715" spans="2:15" x14ac:dyDescent="0.25">
      <c r="B715" s="1"/>
      <c r="C715" s="1"/>
      <c r="D715" s="1"/>
      <c r="E715" s="1"/>
      <c r="F715" s="1"/>
      <c r="G715" s="1"/>
      <c r="H715" s="1"/>
      <c r="I715" s="1"/>
      <c r="J715" s="1"/>
      <c r="K715" s="1"/>
      <c r="L715" s="1"/>
      <c r="M715" s="1"/>
      <c r="N715" s="1"/>
      <c r="O715" s="1"/>
    </row>
    <row r="716" spans="2:15" x14ac:dyDescent="0.25">
      <c r="B716" s="1"/>
      <c r="C716" s="1"/>
      <c r="D716" s="1"/>
      <c r="E716" s="1"/>
      <c r="F716" s="1"/>
      <c r="G716" s="1"/>
      <c r="H716" s="1"/>
      <c r="I716" s="1"/>
      <c r="J716" s="1"/>
      <c r="K716" s="1"/>
      <c r="L716" s="1"/>
      <c r="M716" s="1"/>
      <c r="N716" s="1"/>
      <c r="O716" s="1"/>
    </row>
    <row r="717" spans="2:15" x14ac:dyDescent="0.25">
      <c r="B717" s="1"/>
      <c r="C717" s="1"/>
      <c r="D717" s="1"/>
      <c r="E717" s="1"/>
      <c r="F717" s="1"/>
      <c r="G717" s="1"/>
      <c r="H717" s="1"/>
      <c r="I717" s="1"/>
      <c r="J717" s="1"/>
      <c r="K717" s="1"/>
      <c r="L717" s="1"/>
      <c r="M717" s="1"/>
      <c r="N717" s="1"/>
      <c r="O717" s="1"/>
    </row>
    <row r="718" spans="2:15" x14ac:dyDescent="0.25">
      <c r="B718" s="1"/>
      <c r="C718" s="1"/>
      <c r="D718" s="1"/>
      <c r="E718" s="1"/>
      <c r="F718" s="1"/>
      <c r="G718" s="1"/>
      <c r="H718" s="1"/>
      <c r="I718" s="1"/>
      <c r="J718" s="1"/>
      <c r="K718" s="1"/>
      <c r="L718" s="1"/>
      <c r="M718" s="1"/>
      <c r="N718" s="1"/>
      <c r="O718" s="1"/>
    </row>
    <row r="719" spans="2:15" x14ac:dyDescent="0.25">
      <c r="B719" s="1"/>
      <c r="C719" s="1"/>
      <c r="D719" s="1"/>
      <c r="E719" s="1"/>
      <c r="F719" s="1"/>
      <c r="G719" s="1"/>
      <c r="H719" s="1"/>
      <c r="I719" s="1"/>
      <c r="J719" s="1"/>
      <c r="K719" s="1"/>
      <c r="L719" s="1"/>
      <c r="M719" s="1"/>
      <c r="N719" s="1"/>
      <c r="O719" s="1"/>
    </row>
    <row r="720" spans="2:15" x14ac:dyDescent="0.25">
      <c r="B720" s="1"/>
      <c r="C720" s="1"/>
      <c r="D720" s="1"/>
      <c r="E720" s="1"/>
      <c r="F720" s="1"/>
      <c r="G720" s="1"/>
      <c r="H720" s="1"/>
      <c r="I720" s="1"/>
      <c r="J720" s="1"/>
      <c r="K720" s="1"/>
      <c r="L720" s="1"/>
      <c r="M720" s="1"/>
      <c r="N720" s="1"/>
      <c r="O720" s="1"/>
    </row>
    <row r="721" spans="2:15" x14ac:dyDescent="0.25">
      <c r="B721" s="1"/>
      <c r="C721" s="1"/>
      <c r="D721" s="1"/>
      <c r="E721" s="1"/>
      <c r="F721" s="1"/>
      <c r="G721" s="1"/>
      <c r="H721" s="1"/>
      <c r="I721" s="1"/>
      <c r="J721" s="1"/>
      <c r="K721" s="1"/>
      <c r="L721" s="1"/>
      <c r="M721" s="1"/>
      <c r="N721" s="1"/>
      <c r="O721" s="1"/>
    </row>
    <row r="722" spans="2:15" x14ac:dyDescent="0.25">
      <c r="B722" s="1"/>
      <c r="C722" s="1"/>
      <c r="D722" s="1"/>
      <c r="E722" s="1"/>
      <c r="F722" s="1"/>
      <c r="G722" s="1"/>
      <c r="H722" s="1"/>
      <c r="I722" s="1"/>
      <c r="J722" s="1"/>
      <c r="K722" s="1"/>
      <c r="L722" s="1"/>
      <c r="M722" s="1"/>
      <c r="N722" s="1"/>
      <c r="O722" s="1"/>
    </row>
    <row r="723" spans="2:15" x14ac:dyDescent="0.25">
      <c r="B723" s="1"/>
      <c r="C723" s="1"/>
      <c r="D723" s="1"/>
      <c r="E723" s="1"/>
      <c r="F723" s="1"/>
      <c r="G723" s="1"/>
      <c r="H723" s="1"/>
      <c r="I723" s="1"/>
      <c r="J723" s="1"/>
      <c r="K723" s="1"/>
      <c r="L723" s="1"/>
      <c r="M723" s="1"/>
      <c r="N723" s="1"/>
      <c r="O723" s="1"/>
    </row>
    <row r="724" spans="2:15" x14ac:dyDescent="0.25">
      <c r="B724" s="1"/>
      <c r="C724" s="1"/>
      <c r="D724" s="1"/>
      <c r="E724" s="1"/>
      <c r="F724" s="1"/>
      <c r="G724" s="1"/>
      <c r="H724" s="1"/>
      <c r="I724" s="1"/>
      <c r="J724" s="1"/>
      <c r="K724" s="1"/>
      <c r="L724" s="1"/>
      <c r="M724" s="1"/>
      <c r="N724" s="1"/>
      <c r="O724" s="1"/>
    </row>
    <row r="725" spans="2:15" x14ac:dyDescent="0.25">
      <c r="B725" s="1"/>
      <c r="C725" s="1"/>
      <c r="D725" s="1"/>
      <c r="E725" s="1"/>
      <c r="F725" s="1"/>
      <c r="G725" s="1"/>
      <c r="H725" s="1"/>
      <c r="I725" s="1"/>
      <c r="J725" s="1"/>
      <c r="K725" s="1"/>
      <c r="L725" s="1"/>
      <c r="M725" s="1"/>
      <c r="N725" s="1"/>
      <c r="O725" s="1"/>
    </row>
    <row r="726" spans="2:15" x14ac:dyDescent="0.25">
      <c r="B726" s="1"/>
      <c r="C726" s="1"/>
      <c r="D726" s="1"/>
      <c r="E726" s="1"/>
      <c r="F726" s="1"/>
      <c r="G726" s="1"/>
      <c r="H726" s="1"/>
      <c r="I726" s="1"/>
      <c r="J726" s="1"/>
      <c r="K726" s="1"/>
      <c r="L726" s="1"/>
      <c r="M726" s="1"/>
      <c r="N726" s="1"/>
      <c r="O726" s="1"/>
    </row>
    <row r="727" spans="2:15" x14ac:dyDescent="0.25">
      <c r="B727" s="1"/>
      <c r="C727" s="1"/>
      <c r="D727" s="1"/>
      <c r="E727" s="1"/>
      <c r="F727" s="1"/>
      <c r="G727" s="1"/>
      <c r="H727" s="1"/>
      <c r="I727" s="1"/>
      <c r="J727" s="1"/>
      <c r="K727" s="1"/>
      <c r="L727" s="1"/>
      <c r="M727" s="1"/>
      <c r="N727" s="1"/>
      <c r="O727" s="1"/>
    </row>
    <row r="728" spans="2:15" x14ac:dyDescent="0.25">
      <c r="B728" s="1"/>
      <c r="C728" s="1"/>
      <c r="D728" s="1"/>
      <c r="E728" s="1"/>
      <c r="F728" s="1"/>
      <c r="G728" s="1"/>
      <c r="H728" s="1"/>
      <c r="I728" s="1"/>
      <c r="J728" s="1"/>
      <c r="K728" s="1"/>
      <c r="L728" s="1"/>
      <c r="M728" s="1"/>
      <c r="N728" s="1"/>
      <c r="O728" s="1"/>
    </row>
    <row r="729" spans="2:15" x14ac:dyDescent="0.25">
      <c r="B729" s="1"/>
      <c r="C729" s="1"/>
      <c r="D729" s="1"/>
      <c r="E729" s="1"/>
      <c r="F729" s="1"/>
      <c r="G729" s="1"/>
      <c r="H729" s="1"/>
      <c r="I729" s="1"/>
      <c r="J729" s="1"/>
      <c r="K729" s="1"/>
      <c r="L729" s="1"/>
      <c r="M729" s="1"/>
      <c r="N729" s="1"/>
      <c r="O729" s="1"/>
    </row>
    <row r="730" spans="2:15" x14ac:dyDescent="0.25">
      <c r="B730" s="1"/>
      <c r="C730" s="1"/>
      <c r="D730" s="1"/>
      <c r="E730" s="1"/>
      <c r="F730" s="1"/>
      <c r="G730" s="1"/>
      <c r="H730" s="1"/>
      <c r="I730" s="1"/>
      <c r="J730" s="1"/>
      <c r="K730" s="1"/>
      <c r="L730" s="1"/>
      <c r="M730" s="1"/>
      <c r="N730" s="1"/>
      <c r="O730" s="1"/>
    </row>
    <row r="731" spans="2:15" x14ac:dyDescent="0.25">
      <c r="B731" s="1"/>
      <c r="C731" s="1"/>
      <c r="D731" s="1"/>
      <c r="E731" s="1"/>
      <c r="F731" s="1"/>
      <c r="G731" s="1"/>
      <c r="H731" s="1"/>
      <c r="I731" s="1"/>
      <c r="J731" s="1"/>
      <c r="K731" s="1"/>
      <c r="L731" s="1"/>
      <c r="M731" s="1"/>
      <c r="N731" s="1"/>
      <c r="O731" s="1"/>
    </row>
    <row r="732" spans="2:15" x14ac:dyDescent="0.25">
      <c r="B732" s="1"/>
      <c r="C732" s="1"/>
      <c r="D732" s="1"/>
      <c r="E732" s="1"/>
      <c r="F732" s="1"/>
      <c r="G732" s="1"/>
      <c r="H732" s="1"/>
      <c r="I732" s="1"/>
      <c r="J732" s="1"/>
      <c r="K732" s="1"/>
      <c r="L732" s="1"/>
      <c r="M732" s="1"/>
      <c r="N732" s="1"/>
      <c r="O732" s="1"/>
    </row>
    <row r="733" spans="2:15" x14ac:dyDescent="0.25">
      <c r="B733" s="1"/>
      <c r="C733" s="1"/>
      <c r="D733" s="1"/>
      <c r="E733" s="1"/>
      <c r="F733" s="1"/>
      <c r="G733" s="1"/>
      <c r="H733" s="1"/>
      <c r="I733" s="1"/>
      <c r="J733" s="1"/>
      <c r="K733" s="1"/>
      <c r="L733" s="1"/>
      <c r="M733" s="1"/>
      <c r="N733" s="1"/>
      <c r="O733" s="1"/>
    </row>
    <row r="734" spans="2:15" x14ac:dyDescent="0.25">
      <c r="B734" s="1"/>
      <c r="C734" s="1"/>
      <c r="D734" s="1"/>
      <c r="E734" s="1"/>
      <c r="F734" s="1"/>
      <c r="G734" s="1"/>
      <c r="H734" s="1"/>
      <c r="I734" s="1"/>
      <c r="J734" s="1"/>
      <c r="K734" s="1"/>
      <c r="L734" s="1"/>
      <c r="M734" s="1"/>
      <c r="N734" s="1"/>
      <c r="O734" s="1"/>
    </row>
    <row r="735" spans="2:15" x14ac:dyDescent="0.25">
      <c r="B735" s="1"/>
      <c r="C735" s="1"/>
      <c r="D735" s="1"/>
      <c r="E735" s="1"/>
      <c r="F735" s="1"/>
      <c r="G735" s="1"/>
      <c r="H735" s="1"/>
      <c r="I735" s="1"/>
      <c r="J735" s="1"/>
      <c r="K735" s="1"/>
      <c r="L735" s="1"/>
      <c r="M735" s="1"/>
      <c r="N735" s="1"/>
      <c r="O735" s="1"/>
    </row>
    <row r="736" spans="2:15" x14ac:dyDescent="0.25">
      <c r="B736" s="1"/>
      <c r="C736" s="1"/>
      <c r="D736" s="1"/>
      <c r="E736" s="1"/>
      <c r="F736" s="1"/>
      <c r="G736" s="1"/>
      <c r="H736" s="1"/>
      <c r="I736" s="1"/>
      <c r="J736" s="1"/>
      <c r="K736" s="1"/>
      <c r="L736" s="1"/>
      <c r="M736" s="1"/>
      <c r="N736" s="1"/>
      <c r="O736" s="1"/>
    </row>
    <row r="737" spans="2:15" x14ac:dyDescent="0.25">
      <c r="B737" s="1"/>
      <c r="C737" s="1"/>
      <c r="D737" s="1"/>
      <c r="E737" s="1"/>
      <c r="F737" s="1"/>
      <c r="G737" s="1"/>
      <c r="H737" s="1"/>
      <c r="I737" s="1"/>
      <c r="J737" s="1"/>
      <c r="K737" s="1"/>
      <c r="L737" s="1"/>
      <c r="M737" s="1"/>
      <c r="N737" s="1"/>
      <c r="O737" s="1"/>
    </row>
    <row r="738" spans="2:15" x14ac:dyDescent="0.25">
      <c r="B738" s="1"/>
      <c r="C738" s="1"/>
      <c r="D738" s="1"/>
      <c r="E738" s="1"/>
      <c r="F738" s="1"/>
      <c r="G738" s="1"/>
      <c r="H738" s="1"/>
      <c r="I738" s="1"/>
      <c r="J738" s="1"/>
      <c r="K738" s="1"/>
      <c r="L738" s="1"/>
      <c r="M738" s="1"/>
      <c r="N738" s="1"/>
      <c r="O738" s="1"/>
    </row>
    <row r="739" spans="2:15" x14ac:dyDescent="0.25">
      <c r="B739" s="1"/>
      <c r="C739" s="1"/>
      <c r="D739" s="1"/>
      <c r="E739" s="1"/>
      <c r="F739" s="1"/>
      <c r="G739" s="1"/>
      <c r="H739" s="1"/>
      <c r="I739" s="1"/>
      <c r="J739" s="1"/>
      <c r="K739" s="1"/>
      <c r="L739" s="1"/>
      <c r="M739" s="1"/>
      <c r="N739" s="1"/>
      <c r="O739" s="1"/>
    </row>
    <row r="740" spans="2:15" x14ac:dyDescent="0.25">
      <c r="B740" s="1"/>
      <c r="C740" s="1"/>
      <c r="D740" s="1"/>
      <c r="E740" s="1"/>
      <c r="F740" s="1"/>
      <c r="G740" s="1"/>
      <c r="H740" s="1"/>
      <c r="I740" s="1"/>
      <c r="J740" s="1"/>
      <c r="K740" s="1"/>
      <c r="L740" s="1"/>
      <c r="M740" s="1"/>
      <c r="N740" s="1"/>
      <c r="O740" s="1"/>
    </row>
    <row r="741" spans="2:15" x14ac:dyDescent="0.25">
      <c r="B741" s="1"/>
      <c r="C741" s="1"/>
      <c r="D741" s="1"/>
      <c r="E741" s="1"/>
      <c r="F741" s="1"/>
      <c r="G741" s="1"/>
      <c r="H741" s="1"/>
      <c r="I741" s="1"/>
      <c r="J741" s="1"/>
      <c r="K741" s="1"/>
      <c r="L741" s="1"/>
      <c r="M741" s="1"/>
      <c r="N741" s="1"/>
      <c r="O741" s="1"/>
    </row>
    <row r="742" spans="2:15" x14ac:dyDescent="0.25">
      <c r="B742" s="1"/>
      <c r="C742" s="1"/>
      <c r="D742" s="1"/>
      <c r="E742" s="1"/>
      <c r="F742" s="1"/>
      <c r="G742" s="1"/>
      <c r="H742" s="1"/>
      <c r="I742" s="1"/>
      <c r="J742" s="1"/>
      <c r="K742" s="1"/>
      <c r="L742" s="1"/>
      <c r="M742" s="1"/>
      <c r="N742" s="1"/>
      <c r="O742" s="1"/>
    </row>
    <row r="743" spans="2:15" x14ac:dyDescent="0.25">
      <c r="B743" s="1"/>
      <c r="C743" s="1"/>
      <c r="D743" s="1"/>
      <c r="E743" s="1"/>
      <c r="F743" s="1"/>
      <c r="G743" s="1"/>
      <c r="H743" s="1"/>
      <c r="I743" s="1"/>
      <c r="J743" s="1"/>
      <c r="K743" s="1"/>
      <c r="L743" s="1"/>
      <c r="M743" s="1"/>
      <c r="N743" s="1"/>
      <c r="O743" s="1"/>
    </row>
    <row r="744" spans="2:15" x14ac:dyDescent="0.25">
      <c r="B744" s="1"/>
      <c r="C744" s="1"/>
      <c r="D744" s="1"/>
      <c r="E744" s="1"/>
      <c r="F744" s="1"/>
      <c r="G744" s="1"/>
      <c r="H744" s="1"/>
      <c r="I744" s="1"/>
      <c r="J744" s="1"/>
      <c r="K744" s="1"/>
      <c r="L744" s="1"/>
      <c r="M744" s="1"/>
      <c r="N744" s="1"/>
      <c r="O744" s="1"/>
    </row>
    <row r="745" spans="2:15" x14ac:dyDescent="0.25">
      <c r="B745" s="1"/>
      <c r="C745" s="1"/>
      <c r="D745" s="1"/>
      <c r="E745" s="1"/>
      <c r="F745" s="1"/>
      <c r="G745" s="1"/>
      <c r="H745" s="1"/>
      <c r="I745" s="1"/>
      <c r="J745" s="1"/>
      <c r="K745" s="1"/>
      <c r="L745" s="1"/>
      <c r="M745" s="1"/>
      <c r="N745" s="1"/>
      <c r="O745" s="1"/>
    </row>
    <row r="746" spans="2:15" x14ac:dyDescent="0.25">
      <c r="B746" s="1"/>
      <c r="C746" s="1"/>
      <c r="D746" s="1"/>
      <c r="E746" s="1"/>
      <c r="F746" s="1"/>
      <c r="G746" s="1"/>
      <c r="H746" s="1"/>
      <c r="I746" s="1"/>
      <c r="J746" s="1"/>
      <c r="K746" s="1"/>
      <c r="L746" s="1"/>
      <c r="M746" s="1"/>
      <c r="N746" s="1"/>
      <c r="O746" s="1"/>
    </row>
    <row r="747" spans="2:15" x14ac:dyDescent="0.25">
      <c r="B747" s="1"/>
      <c r="C747" s="1"/>
      <c r="D747" s="1"/>
      <c r="E747" s="1"/>
      <c r="F747" s="1"/>
      <c r="G747" s="1"/>
      <c r="H747" s="1"/>
      <c r="I747" s="1"/>
      <c r="J747" s="1"/>
      <c r="K747" s="1"/>
      <c r="L747" s="1"/>
      <c r="M747" s="1"/>
      <c r="N747" s="1"/>
      <c r="O747" s="1"/>
    </row>
    <row r="748" spans="2:15" x14ac:dyDescent="0.25">
      <c r="B748" s="1"/>
      <c r="C748" s="1"/>
      <c r="D748" s="1"/>
      <c r="E748" s="1"/>
      <c r="F748" s="1"/>
      <c r="G748" s="1"/>
      <c r="H748" s="1"/>
      <c r="I748" s="1"/>
      <c r="J748" s="1"/>
      <c r="K748" s="1"/>
      <c r="L748" s="1"/>
      <c r="M748" s="1"/>
      <c r="N748" s="1"/>
      <c r="O748" s="1"/>
    </row>
    <row r="749" spans="2:15" x14ac:dyDescent="0.25">
      <c r="B749" s="1"/>
      <c r="C749" s="1"/>
      <c r="D749" s="1"/>
      <c r="E749" s="1"/>
      <c r="F749" s="1"/>
      <c r="G749" s="1"/>
      <c r="H749" s="1"/>
      <c r="I749" s="1"/>
      <c r="J749" s="1"/>
      <c r="K749" s="1"/>
      <c r="L749" s="1"/>
      <c r="M749" s="1"/>
      <c r="N749" s="1"/>
      <c r="O749" s="1"/>
    </row>
    <row r="750" spans="2:15" x14ac:dyDescent="0.25">
      <c r="B750" s="1"/>
      <c r="C750" s="1"/>
      <c r="D750" s="1"/>
      <c r="E750" s="1"/>
      <c r="F750" s="1"/>
      <c r="G750" s="1"/>
      <c r="H750" s="1"/>
      <c r="I750" s="1"/>
      <c r="J750" s="1"/>
      <c r="K750" s="1"/>
      <c r="L750" s="1"/>
      <c r="M750" s="1"/>
      <c r="N750" s="1"/>
      <c r="O750" s="1"/>
    </row>
    <row r="751" spans="2:15" x14ac:dyDescent="0.25">
      <c r="B751" s="1"/>
      <c r="C751" s="1"/>
      <c r="D751" s="1"/>
      <c r="E751" s="1"/>
      <c r="F751" s="1"/>
      <c r="G751" s="1"/>
      <c r="H751" s="1"/>
      <c r="I751" s="1"/>
      <c r="J751" s="1"/>
      <c r="K751" s="1"/>
      <c r="L751" s="1"/>
      <c r="M751" s="1"/>
      <c r="N751" s="1"/>
      <c r="O751" s="1"/>
    </row>
    <row r="752" spans="2:15" x14ac:dyDescent="0.25">
      <c r="B752" s="1"/>
      <c r="C752" s="1"/>
      <c r="D752" s="1"/>
      <c r="E752" s="1"/>
      <c r="F752" s="1"/>
      <c r="G752" s="1"/>
      <c r="H752" s="1"/>
      <c r="I752" s="1"/>
      <c r="J752" s="1"/>
      <c r="K752" s="1"/>
      <c r="L752" s="1"/>
      <c r="M752" s="1"/>
      <c r="N752" s="1"/>
      <c r="O752" s="1"/>
    </row>
    <row r="753" spans="2:15" x14ac:dyDescent="0.25">
      <c r="B753" s="1"/>
      <c r="C753" s="1"/>
      <c r="D753" s="1"/>
      <c r="E753" s="1"/>
      <c r="F753" s="1"/>
      <c r="G753" s="1"/>
      <c r="H753" s="1"/>
      <c r="I753" s="1"/>
      <c r="J753" s="1"/>
      <c r="K753" s="1"/>
      <c r="L753" s="1"/>
      <c r="M753" s="1"/>
      <c r="N753" s="1"/>
      <c r="O753" s="1"/>
    </row>
    <row r="754" spans="2:15" x14ac:dyDescent="0.25">
      <c r="B754" s="1"/>
      <c r="C754" s="1"/>
      <c r="D754" s="1"/>
      <c r="E754" s="1"/>
      <c r="F754" s="1"/>
      <c r="G754" s="1"/>
      <c r="H754" s="1"/>
      <c r="I754" s="1"/>
      <c r="J754" s="1"/>
      <c r="K754" s="1"/>
      <c r="L754" s="1"/>
      <c r="M754" s="1"/>
      <c r="N754" s="1"/>
      <c r="O754" s="1"/>
    </row>
    <row r="755" spans="2:15" x14ac:dyDescent="0.25">
      <c r="B755" s="1"/>
      <c r="C755" s="1"/>
      <c r="D755" s="1"/>
      <c r="E755" s="1"/>
      <c r="F755" s="1"/>
      <c r="G755" s="1"/>
      <c r="H755" s="1"/>
      <c r="I755" s="1"/>
      <c r="J755" s="1"/>
      <c r="K755" s="1"/>
      <c r="L755" s="1"/>
      <c r="M755" s="1"/>
      <c r="N755" s="1"/>
      <c r="O755" s="1"/>
    </row>
    <row r="756" spans="2:15" x14ac:dyDescent="0.25">
      <c r="B756" s="1"/>
      <c r="C756" s="1"/>
      <c r="D756" s="1"/>
      <c r="E756" s="1"/>
      <c r="F756" s="1"/>
      <c r="G756" s="1"/>
      <c r="H756" s="1"/>
      <c r="I756" s="1"/>
      <c r="J756" s="1"/>
      <c r="K756" s="1"/>
      <c r="L756" s="1"/>
      <c r="M756" s="1"/>
      <c r="N756" s="1"/>
      <c r="O756" s="1"/>
    </row>
    <row r="757" spans="2:15" x14ac:dyDescent="0.25">
      <c r="B757" s="1"/>
      <c r="C757" s="1"/>
      <c r="D757" s="1"/>
      <c r="E757" s="1"/>
      <c r="F757" s="1"/>
      <c r="G757" s="1"/>
      <c r="H757" s="1"/>
      <c r="I757" s="1"/>
      <c r="J757" s="1"/>
      <c r="K757" s="1"/>
      <c r="L757" s="1"/>
      <c r="M757" s="1"/>
      <c r="N757" s="1"/>
      <c r="O757" s="1"/>
    </row>
    <row r="758" spans="2:15" x14ac:dyDescent="0.25">
      <c r="B758" s="1"/>
      <c r="C758" s="1"/>
      <c r="D758" s="1"/>
      <c r="E758" s="1"/>
      <c r="F758" s="1"/>
      <c r="G758" s="1"/>
      <c r="H758" s="1"/>
      <c r="I758" s="1"/>
      <c r="J758" s="1"/>
      <c r="K758" s="1"/>
      <c r="L758" s="1"/>
      <c r="M758" s="1"/>
      <c r="N758" s="1"/>
      <c r="O758" s="1"/>
    </row>
    <row r="759" spans="2:15" x14ac:dyDescent="0.25">
      <c r="B759" s="1"/>
      <c r="C759" s="1"/>
      <c r="D759" s="1"/>
      <c r="E759" s="1"/>
      <c r="F759" s="1"/>
      <c r="G759" s="1"/>
      <c r="H759" s="1"/>
      <c r="I759" s="1"/>
      <c r="J759" s="1"/>
      <c r="K759" s="1"/>
      <c r="L759" s="1"/>
      <c r="M759" s="1"/>
      <c r="N759" s="1"/>
      <c r="O759" s="1"/>
    </row>
    <row r="760" spans="2:15" x14ac:dyDescent="0.25">
      <c r="B760" s="1"/>
      <c r="C760" s="1"/>
      <c r="D760" s="1"/>
      <c r="E760" s="1"/>
      <c r="F760" s="1"/>
      <c r="G760" s="1"/>
      <c r="H760" s="1"/>
      <c r="I760" s="1"/>
      <c r="J760" s="1"/>
      <c r="K760" s="1"/>
      <c r="L760" s="1"/>
      <c r="M760" s="1"/>
      <c r="N760" s="1"/>
      <c r="O760" s="1"/>
    </row>
    <row r="761" spans="2:15" x14ac:dyDescent="0.25">
      <c r="B761" s="1"/>
      <c r="C761" s="1"/>
      <c r="D761" s="1"/>
      <c r="E761" s="1"/>
      <c r="F761" s="1"/>
      <c r="G761" s="1"/>
      <c r="H761" s="1"/>
      <c r="I761" s="1"/>
      <c r="J761" s="1"/>
      <c r="K761" s="1"/>
      <c r="L761" s="1"/>
      <c r="M761" s="1"/>
      <c r="N761" s="1"/>
      <c r="O761" s="1"/>
    </row>
    <row r="762" spans="2:15" x14ac:dyDescent="0.25">
      <c r="B762" s="1"/>
      <c r="C762" s="1"/>
      <c r="D762" s="1"/>
      <c r="E762" s="1"/>
      <c r="F762" s="1"/>
      <c r="G762" s="1"/>
      <c r="H762" s="1"/>
      <c r="I762" s="1"/>
      <c r="J762" s="1"/>
      <c r="K762" s="1"/>
      <c r="L762" s="1"/>
      <c r="M762" s="1"/>
      <c r="N762" s="1"/>
      <c r="O762" s="1"/>
    </row>
    <row r="763" spans="2:15" x14ac:dyDescent="0.25">
      <c r="B763" s="1"/>
      <c r="C763" s="1"/>
      <c r="D763" s="1"/>
      <c r="E763" s="1"/>
      <c r="F763" s="1"/>
      <c r="G763" s="1"/>
      <c r="H763" s="1"/>
      <c r="I763" s="1"/>
      <c r="J763" s="1"/>
      <c r="K763" s="1"/>
      <c r="L763" s="1"/>
      <c r="M763" s="1"/>
      <c r="N763" s="1"/>
      <c r="O763" s="1"/>
    </row>
    <row r="764" spans="2:15" x14ac:dyDescent="0.25">
      <c r="B764" s="1"/>
      <c r="C764" s="1"/>
      <c r="D764" s="1"/>
      <c r="E764" s="1"/>
      <c r="F764" s="1"/>
      <c r="G764" s="1"/>
      <c r="H764" s="1"/>
      <c r="I764" s="1"/>
      <c r="J764" s="1"/>
      <c r="K764" s="1"/>
      <c r="L764" s="1"/>
      <c r="M764" s="1"/>
      <c r="N764" s="1"/>
      <c r="O764" s="1"/>
    </row>
    <row r="765" spans="2:15" x14ac:dyDescent="0.25">
      <c r="B765" s="1"/>
      <c r="C765" s="1"/>
      <c r="D765" s="1"/>
      <c r="E765" s="1"/>
      <c r="F765" s="1"/>
      <c r="G765" s="1"/>
      <c r="H765" s="1"/>
      <c r="I765" s="1"/>
      <c r="J765" s="1"/>
      <c r="K765" s="1"/>
      <c r="L765" s="1"/>
      <c r="M765" s="1"/>
      <c r="N765" s="1"/>
      <c r="O765" s="1"/>
    </row>
    <row r="766" spans="2:15" x14ac:dyDescent="0.25">
      <c r="B766" s="1"/>
      <c r="C766" s="1"/>
      <c r="D766" s="1"/>
      <c r="E766" s="1"/>
      <c r="F766" s="1"/>
      <c r="G766" s="1"/>
      <c r="H766" s="1"/>
      <c r="I766" s="1"/>
      <c r="J766" s="1"/>
      <c r="K766" s="1"/>
      <c r="L766" s="1"/>
      <c r="M766" s="1"/>
      <c r="N766" s="1"/>
      <c r="O766" s="1"/>
    </row>
    <row r="767" spans="2:15" x14ac:dyDescent="0.25">
      <c r="B767" s="1"/>
      <c r="C767" s="1"/>
      <c r="D767" s="1"/>
      <c r="E767" s="1"/>
      <c r="F767" s="1"/>
      <c r="G767" s="1"/>
      <c r="H767" s="1"/>
      <c r="I767" s="1"/>
      <c r="J767" s="1"/>
      <c r="K767" s="1"/>
      <c r="L767" s="1"/>
      <c r="M767" s="1"/>
      <c r="N767" s="1"/>
      <c r="O767" s="1"/>
    </row>
    <row r="768" spans="2:15" x14ac:dyDescent="0.25">
      <c r="B768" s="1"/>
      <c r="C768" s="1"/>
      <c r="D768" s="1"/>
      <c r="E768" s="1"/>
      <c r="F768" s="1"/>
      <c r="G768" s="1"/>
      <c r="H768" s="1"/>
      <c r="I768" s="1"/>
      <c r="J768" s="1"/>
      <c r="K768" s="1"/>
      <c r="L768" s="1"/>
      <c r="M768" s="1"/>
      <c r="N768" s="1"/>
      <c r="O768" s="1"/>
    </row>
    <row r="769" spans="2:15" x14ac:dyDescent="0.25">
      <c r="B769" s="1"/>
      <c r="C769" s="1"/>
      <c r="D769" s="1"/>
      <c r="E769" s="1"/>
      <c r="F769" s="1"/>
      <c r="G769" s="1"/>
      <c r="H769" s="1"/>
      <c r="I769" s="1"/>
      <c r="J769" s="1"/>
      <c r="K769" s="1"/>
      <c r="L769" s="1"/>
      <c r="M769" s="1"/>
      <c r="N769" s="1"/>
      <c r="O769" s="1"/>
    </row>
    <row r="770" spans="2:15" x14ac:dyDescent="0.25">
      <c r="B770" s="1"/>
      <c r="C770" s="1"/>
      <c r="D770" s="1"/>
      <c r="E770" s="1"/>
      <c r="F770" s="1"/>
      <c r="G770" s="1"/>
      <c r="H770" s="1"/>
      <c r="I770" s="1"/>
      <c r="J770" s="1"/>
      <c r="K770" s="1"/>
      <c r="L770" s="1"/>
      <c r="M770" s="1"/>
      <c r="N770" s="1"/>
      <c r="O770" s="1"/>
    </row>
    <row r="771" spans="2:15" x14ac:dyDescent="0.25">
      <c r="B771" s="1"/>
      <c r="C771" s="1"/>
      <c r="D771" s="1"/>
      <c r="E771" s="1"/>
      <c r="F771" s="1"/>
      <c r="G771" s="1"/>
      <c r="H771" s="1"/>
      <c r="I771" s="1"/>
      <c r="J771" s="1"/>
      <c r="K771" s="1"/>
      <c r="L771" s="1"/>
      <c r="M771" s="1"/>
      <c r="N771" s="1"/>
      <c r="O771" s="1"/>
    </row>
    <row r="772" spans="2:15" x14ac:dyDescent="0.25">
      <c r="B772" s="1"/>
      <c r="C772" s="1"/>
      <c r="D772" s="1"/>
      <c r="E772" s="1"/>
      <c r="F772" s="1"/>
      <c r="G772" s="1"/>
      <c r="H772" s="1"/>
      <c r="I772" s="1"/>
      <c r="J772" s="1"/>
      <c r="K772" s="1"/>
      <c r="L772" s="1"/>
      <c r="M772" s="1"/>
      <c r="N772" s="1"/>
      <c r="O772" s="1"/>
    </row>
    <row r="773" spans="2:15" x14ac:dyDescent="0.25">
      <c r="B773" s="1"/>
      <c r="C773" s="1"/>
      <c r="D773" s="1"/>
      <c r="E773" s="1"/>
      <c r="F773" s="1"/>
      <c r="G773" s="1"/>
      <c r="H773" s="1"/>
      <c r="I773" s="1"/>
      <c r="J773" s="1"/>
      <c r="K773" s="1"/>
      <c r="L773" s="1"/>
      <c r="M773" s="1"/>
      <c r="N773" s="1"/>
      <c r="O773" s="1"/>
    </row>
    <row r="774" spans="2:15" x14ac:dyDescent="0.25">
      <c r="B774" s="1"/>
      <c r="C774" s="1"/>
      <c r="D774" s="1"/>
      <c r="E774" s="1"/>
      <c r="F774" s="1"/>
      <c r="G774" s="1"/>
      <c r="H774" s="1"/>
      <c r="I774" s="1"/>
      <c r="J774" s="1"/>
      <c r="K774" s="1"/>
      <c r="L774" s="1"/>
      <c r="M774" s="1"/>
      <c r="N774" s="1"/>
      <c r="O774" s="1"/>
    </row>
    <row r="775" spans="2:15" x14ac:dyDescent="0.25">
      <c r="B775" s="1"/>
      <c r="C775" s="1"/>
      <c r="D775" s="1"/>
      <c r="E775" s="1"/>
      <c r="F775" s="1"/>
      <c r="G775" s="1"/>
      <c r="H775" s="1"/>
      <c r="I775" s="1"/>
      <c r="J775" s="1"/>
      <c r="K775" s="1"/>
      <c r="L775" s="1"/>
      <c r="M775" s="1"/>
      <c r="N775" s="1"/>
      <c r="O775" s="1"/>
    </row>
    <row r="776" spans="2:15" x14ac:dyDescent="0.25">
      <c r="B776" s="1"/>
      <c r="C776" s="1"/>
      <c r="D776" s="1"/>
      <c r="E776" s="1"/>
      <c r="F776" s="1"/>
      <c r="G776" s="1"/>
      <c r="H776" s="1"/>
      <c r="I776" s="1"/>
      <c r="J776" s="1"/>
      <c r="K776" s="1"/>
      <c r="L776" s="1"/>
      <c r="M776" s="1"/>
      <c r="N776" s="1"/>
      <c r="O776" s="1"/>
    </row>
    <row r="777" spans="2:15" x14ac:dyDescent="0.25">
      <c r="B777" s="1"/>
      <c r="C777" s="1"/>
      <c r="D777" s="1"/>
      <c r="E777" s="1"/>
      <c r="F777" s="1"/>
      <c r="G777" s="1"/>
      <c r="H777" s="1"/>
      <c r="I777" s="1"/>
      <c r="J777" s="1"/>
      <c r="K777" s="1"/>
      <c r="L777" s="1"/>
      <c r="M777" s="1"/>
      <c r="N777" s="1"/>
      <c r="O777" s="1"/>
    </row>
    <row r="778" spans="2:15" x14ac:dyDescent="0.25">
      <c r="B778" s="1"/>
      <c r="C778" s="1"/>
      <c r="D778" s="1"/>
      <c r="E778" s="1"/>
      <c r="F778" s="1"/>
      <c r="G778" s="1"/>
      <c r="H778" s="1"/>
      <c r="I778" s="1"/>
      <c r="J778" s="1"/>
      <c r="K778" s="1"/>
      <c r="L778" s="1"/>
      <c r="M778" s="1"/>
      <c r="N778" s="1"/>
      <c r="O778" s="1"/>
    </row>
    <row r="779" spans="2:15" x14ac:dyDescent="0.25">
      <c r="B779" s="1"/>
      <c r="C779" s="1"/>
      <c r="D779" s="1"/>
      <c r="E779" s="1"/>
      <c r="F779" s="1"/>
      <c r="G779" s="1"/>
      <c r="H779" s="1"/>
      <c r="I779" s="1"/>
      <c r="J779" s="1"/>
      <c r="K779" s="1"/>
      <c r="L779" s="1"/>
      <c r="M779" s="1"/>
      <c r="N779" s="1"/>
      <c r="O779" s="1"/>
    </row>
    <row r="780" spans="2:15" x14ac:dyDescent="0.25">
      <c r="B780" s="1"/>
      <c r="C780" s="1"/>
      <c r="D780" s="1"/>
      <c r="E780" s="1"/>
      <c r="F780" s="1"/>
      <c r="G780" s="1"/>
      <c r="H780" s="1"/>
      <c r="I780" s="1"/>
      <c r="J780" s="1"/>
      <c r="K780" s="1"/>
      <c r="L780" s="1"/>
      <c r="M780" s="1"/>
      <c r="N780" s="1"/>
      <c r="O780" s="1"/>
    </row>
    <row r="781" spans="2:15" x14ac:dyDescent="0.25">
      <c r="B781" s="1"/>
      <c r="C781" s="1"/>
      <c r="D781" s="1"/>
      <c r="E781" s="1"/>
      <c r="F781" s="1"/>
      <c r="G781" s="1"/>
      <c r="H781" s="1"/>
      <c r="I781" s="1"/>
      <c r="J781" s="1"/>
      <c r="K781" s="1"/>
      <c r="L781" s="1"/>
      <c r="M781" s="1"/>
      <c r="N781" s="1"/>
      <c r="O781" s="1"/>
    </row>
    <row r="782" spans="2:15" x14ac:dyDescent="0.25">
      <c r="B782" s="1"/>
      <c r="C782" s="1"/>
      <c r="D782" s="1"/>
      <c r="E782" s="1"/>
      <c r="F782" s="1"/>
      <c r="G782" s="1"/>
      <c r="H782" s="1"/>
      <c r="I782" s="1"/>
      <c r="J782" s="1"/>
      <c r="K782" s="1"/>
      <c r="L782" s="1"/>
      <c r="M782" s="1"/>
      <c r="N782" s="1"/>
      <c r="O782" s="1"/>
    </row>
    <row r="783" spans="2:15" x14ac:dyDescent="0.25">
      <c r="B783" s="1"/>
      <c r="C783" s="1"/>
      <c r="D783" s="1"/>
      <c r="E783" s="1"/>
      <c r="F783" s="1"/>
      <c r="G783" s="1"/>
      <c r="H783" s="1"/>
      <c r="I783" s="1"/>
      <c r="J783" s="1"/>
      <c r="K783" s="1"/>
      <c r="L783" s="1"/>
      <c r="M783" s="1"/>
      <c r="N783" s="1"/>
      <c r="O783" s="1"/>
    </row>
    <row r="784" spans="2:15" x14ac:dyDescent="0.25">
      <c r="B784" s="1"/>
      <c r="C784" s="1"/>
      <c r="D784" s="1"/>
      <c r="E784" s="1"/>
      <c r="F784" s="1"/>
      <c r="G784" s="1"/>
      <c r="H784" s="1"/>
      <c r="I784" s="1"/>
      <c r="J784" s="1"/>
      <c r="K784" s="1"/>
      <c r="L784" s="1"/>
      <c r="M784" s="1"/>
      <c r="N784" s="1"/>
      <c r="O784" s="1"/>
    </row>
    <row r="785" spans="2:15" x14ac:dyDescent="0.25">
      <c r="B785" s="1"/>
      <c r="C785" s="1"/>
      <c r="D785" s="1"/>
      <c r="E785" s="1"/>
      <c r="F785" s="1"/>
      <c r="G785" s="1"/>
      <c r="H785" s="1"/>
      <c r="I785" s="1"/>
      <c r="J785" s="1"/>
      <c r="K785" s="1"/>
      <c r="L785" s="1"/>
      <c r="M785" s="1"/>
      <c r="N785" s="1"/>
      <c r="O785" s="1"/>
    </row>
    <row r="786" spans="2:15" x14ac:dyDescent="0.25">
      <c r="B786" s="1"/>
      <c r="C786" s="1"/>
      <c r="D786" s="1"/>
      <c r="E786" s="1"/>
      <c r="F786" s="1"/>
      <c r="G786" s="1"/>
      <c r="H786" s="1"/>
      <c r="I786" s="1"/>
      <c r="J786" s="1"/>
      <c r="K786" s="1"/>
      <c r="L786" s="1"/>
      <c r="M786" s="1"/>
      <c r="N786" s="1"/>
      <c r="O786" s="1"/>
    </row>
    <row r="787" spans="2:15" x14ac:dyDescent="0.25">
      <c r="B787" s="1"/>
      <c r="C787" s="1"/>
      <c r="D787" s="1"/>
      <c r="E787" s="1"/>
      <c r="F787" s="1"/>
      <c r="G787" s="1"/>
      <c r="H787" s="1"/>
      <c r="I787" s="1"/>
      <c r="J787" s="1"/>
      <c r="K787" s="1"/>
      <c r="L787" s="1"/>
      <c r="M787" s="1"/>
      <c r="N787" s="1"/>
      <c r="O787" s="1"/>
    </row>
    <row r="788" spans="2:15" x14ac:dyDescent="0.25">
      <c r="B788" s="1"/>
      <c r="C788" s="1"/>
      <c r="D788" s="1"/>
      <c r="E788" s="1"/>
      <c r="F788" s="1"/>
      <c r="G788" s="1"/>
      <c r="H788" s="1"/>
      <c r="I788" s="1"/>
      <c r="J788" s="1"/>
      <c r="K788" s="1"/>
      <c r="L788" s="1"/>
      <c r="M788" s="1"/>
      <c r="N788" s="1"/>
      <c r="O788" s="1"/>
    </row>
    <row r="789" spans="2:15" x14ac:dyDescent="0.25">
      <c r="B789" s="1"/>
      <c r="C789" s="1"/>
      <c r="D789" s="1"/>
      <c r="E789" s="1"/>
      <c r="F789" s="1"/>
      <c r="G789" s="1"/>
      <c r="H789" s="1"/>
      <c r="I789" s="1"/>
      <c r="J789" s="1"/>
      <c r="K789" s="1"/>
      <c r="L789" s="1"/>
      <c r="M789" s="1"/>
      <c r="N789" s="1"/>
      <c r="O789" s="1"/>
    </row>
    <row r="790" spans="2:15" x14ac:dyDescent="0.25">
      <c r="B790" s="1"/>
      <c r="C790" s="1"/>
      <c r="D790" s="1"/>
      <c r="E790" s="1"/>
      <c r="F790" s="1"/>
      <c r="G790" s="1"/>
      <c r="H790" s="1"/>
      <c r="I790" s="1"/>
      <c r="J790" s="1"/>
      <c r="K790" s="1"/>
      <c r="L790" s="1"/>
      <c r="M790" s="1"/>
      <c r="N790" s="1"/>
      <c r="O790" s="1"/>
    </row>
    <row r="791" spans="2:15" x14ac:dyDescent="0.25">
      <c r="B791" s="1"/>
      <c r="C791" s="1"/>
      <c r="D791" s="1"/>
      <c r="E791" s="1"/>
      <c r="F791" s="1"/>
      <c r="G791" s="1"/>
      <c r="H791" s="1"/>
      <c r="I791" s="1"/>
      <c r="J791" s="1"/>
      <c r="K791" s="1"/>
      <c r="L791" s="1"/>
      <c r="M791" s="1"/>
      <c r="N791" s="1"/>
      <c r="O791" s="1"/>
    </row>
    <row r="792" spans="2:15" x14ac:dyDescent="0.25">
      <c r="B792" s="1"/>
      <c r="C792" s="1"/>
      <c r="D792" s="1"/>
      <c r="E792" s="1"/>
      <c r="F792" s="1"/>
      <c r="G792" s="1"/>
      <c r="H792" s="1"/>
      <c r="I792" s="1"/>
      <c r="J792" s="1"/>
      <c r="K792" s="1"/>
      <c r="L792" s="1"/>
      <c r="M792" s="1"/>
      <c r="N792" s="1"/>
      <c r="O792" s="1"/>
    </row>
    <row r="793" spans="2:15" x14ac:dyDescent="0.25">
      <c r="B793" s="1"/>
      <c r="C793" s="1"/>
      <c r="D793" s="1"/>
      <c r="E793" s="1"/>
      <c r="F793" s="1"/>
      <c r="G793" s="1"/>
      <c r="H793" s="1"/>
      <c r="I793" s="1"/>
      <c r="J793" s="1"/>
      <c r="K793" s="1"/>
      <c r="L793" s="1"/>
      <c r="M793" s="1"/>
      <c r="N793" s="1"/>
      <c r="O793" s="1"/>
    </row>
    <row r="794" spans="2:15" x14ac:dyDescent="0.25">
      <c r="B794" s="1"/>
      <c r="C794" s="1"/>
      <c r="D794" s="1"/>
      <c r="E794" s="1"/>
      <c r="F794" s="1"/>
      <c r="G794" s="1"/>
      <c r="H794" s="1"/>
      <c r="I794" s="1"/>
      <c r="J794" s="1"/>
      <c r="K794" s="1"/>
      <c r="L794" s="1"/>
      <c r="M794" s="1"/>
      <c r="N794" s="1"/>
      <c r="O794" s="1"/>
    </row>
    <row r="795" spans="2:15" x14ac:dyDescent="0.25">
      <c r="B795" s="1"/>
      <c r="C795" s="1"/>
      <c r="D795" s="1"/>
      <c r="E795" s="1"/>
      <c r="F795" s="1"/>
      <c r="G795" s="1"/>
      <c r="H795" s="1"/>
      <c r="I795" s="1"/>
      <c r="J795" s="1"/>
      <c r="K795" s="1"/>
      <c r="L795" s="1"/>
      <c r="M795" s="1"/>
      <c r="N795" s="1"/>
      <c r="O795" s="1"/>
    </row>
    <row r="796" spans="2:15" x14ac:dyDescent="0.25">
      <c r="B796" s="1"/>
      <c r="C796" s="1"/>
      <c r="D796" s="1"/>
      <c r="E796" s="1"/>
      <c r="F796" s="1"/>
      <c r="G796" s="1"/>
      <c r="H796" s="1"/>
      <c r="I796" s="1"/>
      <c r="J796" s="1"/>
      <c r="K796" s="1"/>
      <c r="L796" s="1"/>
      <c r="M796" s="1"/>
      <c r="N796" s="1"/>
      <c r="O796" s="1"/>
    </row>
    <row r="797" spans="2:15" x14ac:dyDescent="0.25">
      <c r="B797" s="1"/>
      <c r="C797" s="1"/>
      <c r="D797" s="1"/>
      <c r="E797" s="1"/>
      <c r="F797" s="1"/>
      <c r="G797" s="1"/>
      <c r="H797" s="1"/>
      <c r="I797" s="1"/>
      <c r="J797" s="1"/>
      <c r="K797" s="1"/>
      <c r="L797" s="1"/>
      <c r="M797" s="1"/>
      <c r="N797" s="1"/>
      <c r="O797" s="1"/>
    </row>
    <row r="798" spans="2:15" x14ac:dyDescent="0.25">
      <c r="B798" s="1"/>
      <c r="C798" s="1"/>
      <c r="D798" s="1"/>
      <c r="E798" s="1"/>
      <c r="F798" s="1"/>
      <c r="G798" s="1"/>
      <c r="H798" s="1"/>
      <c r="I798" s="1"/>
      <c r="J798" s="1"/>
      <c r="K798" s="1"/>
      <c r="L798" s="1"/>
      <c r="M798" s="1"/>
      <c r="N798" s="1"/>
      <c r="O798" s="1"/>
    </row>
    <row r="799" spans="2:15" x14ac:dyDescent="0.25">
      <c r="B799" s="1"/>
      <c r="C799" s="1"/>
      <c r="D799" s="1"/>
      <c r="E799" s="1"/>
      <c r="F799" s="1"/>
      <c r="G799" s="1"/>
      <c r="H799" s="1"/>
      <c r="I799" s="1"/>
      <c r="J799" s="1"/>
      <c r="K799" s="1"/>
      <c r="L799" s="1"/>
      <c r="M799" s="1"/>
      <c r="N799" s="1"/>
      <c r="O799" s="1"/>
    </row>
    <row r="800" spans="2:15" x14ac:dyDescent="0.25">
      <c r="B800" s="1"/>
      <c r="C800" s="1"/>
      <c r="D800" s="1"/>
      <c r="E800" s="1"/>
      <c r="F800" s="1"/>
      <c r="G800" s="1"/>
      <c r="H800" s="1"/>
      <c r="I800" s="1"/>
      <c r="J800" s="1"/>
      <c r="K800" s="1"/>
      <c r="L800" s="1"/>
      <c r="M800" s="1"/>
      <c r="N800" s="1"/>
      <c r="O800" s="1"/>
    </row>
    <row r="801" spans="2:15" x14ac:dyDescent="0.25">
      <c r="B801" s="1"/>
      <c r="C801" s="1"/>
      <c r="D801" s="1"/>
      <c r="E801" s="1"/>
      <c r="F801" s="1"/>
      <c r="G801" s="1"/>
      <c r="H801" s="1"/>
      <c r="I801" s="1"/>
      <c r="J801" s="1"/>
      <c r="K801" s="1"/>
      <c r="L801" s="1"/>
      <c r="M801" s="1"/>
      <c r="N801" s="1"/>
      <c r="O801" s="1"/>
    </row>
    <row r="802" spans="2:15" x14ac:dyDescent="0.25">
      <c r="B802" s="1"/>
      <c r="C802" s="1"/>
      <c r="D802" s="1"/>
      <c r="E802" s="1"/>
      <c r="F802" s="1"/>
      <c r="G802" s="1"/>
      <c r="H802" s="1"/>
      <c r="I802" s="1"/>
      <c r="J802" s="1"/>
      <c r="K802" s="1"/>
      <c r="L802" s="1"/>
      <c r="M802" s="1"/>
      <c r="N802" s="1"/>
      <c r="O802" s="1"/>
    </row>
    <row r="803" spans="2:15" x14ac:dyDescent="0.25">
      <c r="B803" s="1"/>
      <c r="C803" s="1"/>
      <c r="D803" s="1"/>
      <c r="E803" s="1"/>
      <c r="F803" s="1"/>
      <c r="G803" s="1"/>
      <c r="H803" s="1"/>
      <c r="I803" s="1"/>
      <c r="J803" s="1"/>
      <c r="K803" s="1"/>
      <c r="L803" s="1"/>
      <c r="M803" s="1"/>
      <c r="N803" s="1"/>
      <c r="O803" s="1"/>
    </row>
    <row r="804" spans="2:15" x14ac:dyDescent="0.25">
      <c r="B804" s="1"/>
      <c r="C804" s="1"/>
      <c r="D804" s="1"/>
      <c r="E804" s="1"/>
      <c r="F804" s="1"/>
      <c r="G804" s="1"/>
      <c r="H804" s="1"/>
      <c r="I804" s="1"/>
      <c r="J804" s="1"/>
      <c r="K804" s="1"/>
      <c r="L804" s="1"/>
      <c r="M804" s="1"/>
      <c r="N804" s="1"/>
      <c r="O804" s="1"/>
    </row>
    <row r="805" spans="2:15" x14ac:dyDescent="0.25">
      <c r="B805" s="1"/>
      <c r="C805" s="1"/>
      <c r="D805" s="1"/>
      <c r="E805" s="1"/>
      <c r="F805" s="1"/>
      <c r="G805" s="1"/>
      <c r="H805" s="1"/>
      <c r="I805" s="1"/>
      <c r="J805" s="1"/>
      <c r="K805" s="1"/>
      <c r="L805" s="1"/>
      <c r="M805" s="1"/>
      <c r="N805" s="1"/>
      <c r="O805" s="1"/>
    </row>
    <row r="806" spans="2:15" x14ac:dyDescent="0.25">
      <c r="B806" s="1"/>
      <c r="C806" s="1"/>
      <c r="D806" s="1"/>
      <c r="E806" s="1"/>
      <c r="F806" s="1"/>
      <c r="G806" s="1"/>
      <c r="H806" s="1"/>
      <c r="I806" s="1"/>
      <c r="J806" s="1"/>
      <c r="K806" s="1"/>
      <c r="L806" s="1"/>
      <c r="M806" s="1"/>
      <c r="N806" s="1"/>
      <c r="O806" s="1"/>
    </row>
    <row r="807" spans="2:15" x14ac:dyDescent="0.25">
      <c r="B807" s="1"/>
      <c r="C807" s="1"/>
      <c r="D807" s="1"/>
      <c r="E807" s="1"/>
      <c r="F807" s="1"/>
      <c r="G807" s="1"/>
      <c r="H807" s="1"/>
      <c r="I807" s="1"/>
      <c r="J807" s="1"/>
      <c r="K807" s="1"/>
      <c r="L807" s="1"/>
      <c r="M807" s="1"/>
      <c r="N807" s="1"/>
      <c r="O807" s="1"/>
    </row>
    <row r="808" spans="2:15" x14ac:dyDescent="0.25">
      <c r="B808" s="1"/>
      <c r="C808" s="1"/>
      <c r="D808" s="1"/>
      <c r="E808" s="1"/>
      <c r="F808" s="1"/>
      <c r="G808" s="1"/>
      <c r="H808" s="1"/>
      <c r="I808" s="1"/>
      <c r="J808" s="1"/>
      <c r="K808" s="1"/>
      <c r="L808" s="1"/>
      <c r="M808" s="1"/>
      <c r="N808" s="1"/>
      <c r="O808" s="1"/>
    </row>
    <row r="809" spans="2:15" x14ac:dyDescent="0.25">
      <c r="B809" s="1"/>
      <c r="C809" s="1"/>
      <c r="D809" s="1"/>
      <c r="E809" s="1"/>
      <c r="F809" s="1"/>
      <c r="G809" s="1"/>
      <c r="H809" s="1"/>
      <c r="I809" s="1"/>
      <c r="J809" s="1"/>
      <c r="K809" s="1"/>
      <c r="L809" s="1"/>
      <c r="M809" s="1"/>
      <c r="N809" s="1"/>
      <c r="O809" s="1"/>
    </row>
    <row r="810" spans="2:15" x14ac:dyDescent="0.25">
      <c r="B810" s="1"/>
      <c r="C810" s="1"/>
      <c r="D810" s="1"/>
      <c r="E810" s="1"/>
      <c r="F810" s="1"/>
      <c r="G810" s="1"/>
      <c r="H810" s="1"/>
      <c r="I810" s="1"/>
      <c r="J810" s="1"/>
      <c r="K810" s="1"/>
      <c r="L810" s="1"/>
      <c r="M810" s="1"/>
      <c r="N810" s="1"/>
      <c r="O810" s="1"/>
    </row>
    <row r="811" spans="2:15" x14ac:dyDescent="0.25">
      <c r="B811" s="1"/>
      <c r="C811" s="1"/>
      <c r="D811" s="1"/>
      <c r="E811" s="1"/>
      <c r="F811" s="1"/>
      <c r="G811" s="1"/>
      <c r="H811" s="1"/>
      <c r="I811" s="1"/>
      <c r="J811" s="1"/>
      <c r="K811" s="1"/>
      <c r="L811" s="1"/>
      <c r="M811" s="1"/>
      <c r="N811" s="1"/>
      <c r="O811" s="1"/>
    </row>
    <row r="812" spans="2:15" x14ac:dyDescent="0.25">
      <c r="B812" s="1"/>
      <c r="C812" s="1"/>
      <c r="D812" s="1"/>
      <c r="E812" s="1"/>
      <c r="F812" s="1"/>
      <c r="G812" s="1"/>
      <c r="H812" s="1"/>
      <c r="I812" s="1"/>
      <c r="J812" s="1"/>
      <c r="K812" s="1"/>
      <c r="L812" s="1"/>
      <c r="M812" s="1"/>
      <c r="N812" s="1"/>
      <c r="O812" s="1"/>
    </row>
    <row r="813" spans="2:15" x14ac:dyDescent="0.25">
      <c r="B813" s="1"/>
      <c r="C813" s="1"/>
      <c r="D813" s="1"/>
      <c r="E813" s="1"/>
      <c r="F813" s="1"/>
      <c r="G813" s="1"/>
      <c r="H813" s="1"/>
      <c r="I813" s="1"/>
      <c r="J813" s="1"/>
      <c r="K813" s="1"/>
      <c r="L813" s="1"/>
      <c r="M813" s="1"/>
      <c r="N813" s="1"/>
      <c r="O813" s="1"/>
    </row>
    <row r="814" spans="2:15" x14ac:dyDescent="0.25">
      <c r="B814" s="1"/>
      <c r="C814" s="1"/>
      <c r="D814" s="1"/>
      <c r="E814" s="1"/>
      <c r="F814" s="1"/>
      <c r="G814" s="1"/>
      <c r="H814" s="1"/>
      <c r="I814" s="1"/>
      <c r="J814" s="1"/>
      <c r="K814" s="1"/>
      <c r="L814" s="1"/>
      <c r="M814" s="1"/>
      <c r="N814" s="1"/>
      <c r="O814" s="1"/>
    </row>
    <row r="815" spans="2:15" x14ac:dyDescent="0.25">
      <c r="B815" s="1"/>
      <c r="C815" s="1"/>
      <c r="D815" s="1"/>
      <c r="E815" s="1"/>
      <c r="F815" s="1"/>
      <c r="G815" s="1"/>
      <c r="H815" s="1"/>
      <c r="I815" s="1"/>
      <c r="J815" s="1"/>
      <c r="K815" s="1"/>
      <c r="L815" s="1"/>
      <c r="M815" s="1"/>
      <c r="N815" s="1"/>
      <c r="O815" s="1"/>
    </row>
    <row r="816" spans="2:15" x14ac:dyDescent="0.25">
      <c r="B816" s="1"/>
      <c r="C816" s="1"/>
      <c r="D816" s="1"/>
      <c r="E816" s="1"/>
      <c r="F816" s="1"/>
      <c r="G816" s="1"/>
      <c r="H816" s="1"/>
      <c r="I816" s="1"/>
      <c r="J816" s="1"/>
      <c r="K816" s="1"/>
      <c r="L816" s="1"/>
      <c r="M816" s="1"/>
      <c r="N816" s="1"/>
      <c r="O816" s="1"/>
    </row>
    <row r="817" spans="2:15" x14ac:dyDescent="0.25">
      <c r="B817" s="1"/>
      <c r="C817" s="1"/>
      <c r="D817" s="1"/>
      <c r="E817" s="1"/>
      <c r="F817" s="1"/>
      <c r="G817" s="1"/>
      <c r="H817" s="1"/>
      <c r="I817" s="1"/>
      <c r="J817" s="1"/>
      <c r="K817" s="1"/>
      <c r="L817" s="1"/>
      <c r="M817" s="1"/>
      <c r="N817" s="1"/>
      <c r="O817" s="1"/>
    </row>
    <row r="818" spans="2:15" x14ac:dyDescent="0.25">
      <c r="B818" s="1"/>
      <c r="C818" s="1"/>
      <c r="D818" s="1"/>
      <c r="E818" s="1"/>
      <c r="F818" s="1"/>
      <c r="G818" s="1"/>
      <c r="H818" s="1"/>
      <c r="I818" s="1"/>
      <c r="J818" s="1"/>
      <c r="K818" s="1"/>
      <c r="L818" s="1"/>
      <c r="M818" s="1"/>
      <c r="N818" s="1"/>
      <c r="O818" s="1"/>
    </row>
    <row r="819" spans="2:15" x14ac:dyDescent="0.25">
      <c r="B819" s="1"/>
      <c r="C819" s="1"/>
      <c r="D819" s="1"/>
      <c r="E819" s="1"/>
      <c r="F819" s="1"/>
      <c r="G819" s="1"/>
      <c r="H819" s="1"/>
      <c r="I819" s="1"/>
      <c r="J819" s="1"/>
      <c r="K819" s="1"/>
      <c r="L819" s="1"/>
      <c r="M819" s="1"/>
      <c r="N819" s="1"/>
      <c r="O819" s="1"/>
    </row>
    <row r="820" spans="2:15" x14ac:dyDescent="0.25">
      <c r="B820" s="1"/>
      <c r="C820" s="1"/>
      <c r="D820" s="1"/>
      <c r="E820" s="1"/>
      <c r="F820" s="1"/>
      <c r="G820" s="1"/>
      <c r="H820" s="1"/>
      <c r="I820" s="1"/>
      <c r="J820" s="1"/>
      <c r="K820" s="1"/>
      <c r="L820" s="1"/>
      <c r="M820" s="1"/>
      <c r="N820" s="1"/>
      <c r="O820" s="1"/>
    </row>
    <row r="821" spans="2:15" x14ac:dyDescent="0.25">
      <c r="B821" s="1"/>
      <c r="C821" s="1"/>
      <c r="D821" s="1"/>
      <c r="E821" s="1"/>
      <c r="F821" s="1"/>
      <c r="G821" s="1"/>
      <c r="H821" s="1"/>
      <c r="I821" s="1"/>
      <c r="J821" s="1"/>
      <c r="K821" s="1"/>
      <c r="L821" s="1"/>
      <c r="M821" s="1"/>
      <c r="N821" s="1"/>
      <c r="O821" s="1"/>
    </row>
    <row r="822" spans="2:15" x14ac:dyDescent="0.25">
      <c r="B822" s="1"/>
      <c r="C822" s="1"/>
      <c r="D822" s="1"/>
      <c r="E822" s="1"/>
      <c r="F822" s="1"/>
      <c r="G822" s="1"/>
      <c r="H822" s="1"/>
      <c r="I822" s="1"/>
      <c r="J822" s="1"/>
      <c r="K822" s="1"/>
      <c r="L822" s="1"/>
      <c r="M822" s="1"/>
      <c r="N822" s="1"/>
      <c r="O822" s="1"/>
    </row>
    <row r="823" spans="2:15" x14ac:dyDescent="0.25">
      <c r="B823" s="1"/>
      <c r="C823" s="1"/>
      <c r="D823" s="1"/>
      <c r="E823" s="1"/>
      <c r="F823" s="1"/>
      <c r="G823" s="1"/>
      <c r="H823" s="1"/>
      <c r="I823" s="1"/>
      <c r="J823" s="1"/>
      <c r="K823" s="1"/>
      <c r="L823" s="1"/>
      <c r="M823" s="1"/>
      <c r="N823" s="1"/>
      <c r="O823" s="1"/>
    </row>
    <row r="824" spans="2:15" x14ac:dyDescent="0.25">
      <c r="B824" s="1"/>
      <c r="C824" s="1"/>
      <c r="D824" s="1"/>
      <c r="E824" s="1"/>
      <c r="F824" s="1"/>
      <c r="G824" s="1"/>
      <c r="H824" s="1"/>
      <c r="I824" s="1"/>
      <c r="J824" s="1"/>
      <c r="K824" s="1"/>
      <c r="L824" s="1"/>
      <c r="M824" s="1"/>
      <c r="N824" s="1"/>
      <c r="O824" s="1"/>
    </row>
    <row r="825" spans="2:15" x14ac:dyDescent="0.25">
      <c r="B825" s="1"/>
      <c r="C825" s="1"/>
      <c r="D825" s="1"/>
      <c r="E825" s="1"/>
      <c r="F825" s="1"/>
      <c r="G825" s="1"/>
      <c r="H825" s="1"/>
      <c r="I825" s="1"/>
      <c r="J825" s="1"/>
      <c r="K825" s="1"/>
      <c r="L825" s="1"/>
      <c r="M825" s="1"/>
      <c r="N825" s="1"/>
      <c r="O825" s="1"/>
    </row>
    <row r="826" spans="2:15" x14ac:dyDescent="0.25">
      <c r="B826" s="1"/>
      <c r="C826" s="1"/>
      <c r="D826" s="1"/>
      <c r="E826" s="1"/>
      <c r="F826" s="1"/>
      <c r="G826" s="1"/>
      <c r="H826" s="1"/>
      <c r="I826" s="1"/>
      <c r="J826" s="1"/>
      <c r="K826" s="1"/>
      <c r="L826" s="1"/>
      <c r="M826" s="1"/>
      <c r="N826" s="1"/>
      <c r="O826" s="1"/>
    </row>
    <row r="827" spans="2:15" x14ac:dyDescent="0.25">
      <c r="B827" s="1"/>
      <c r="C827" s="1"/>
      <c r="D827" s="1"/>
      <c r="E827" s="1"/>
      <c r="F827" s="1"/>
      <c r="G827" s="1"/>
      <c r="H827" s="1"/>
      <c r="I827" s="1"/>
      <c r="J827" s="1"/>
      <c r="K827" s="1"/>
      <c r="L827" s="1"/>
      <c r="M827" s="1"/>
      <c r="N827" s="1"/>
      <c r="O827" s="1"/>
    </row>
    <row r="828" spans="2:15" x14ac:dyDescent="0.25">
      <c r="B828" s="1"/>
      <c r="C828" s="1"/>
      <c r="D828" s="1"/>
      <c r="E828" s="1"/>
      <c r="F828" s="1"/>
      <c r="G828" s="1"/>
      <c r="H828" s="1"/>
      <c r="I828" s="1"/>
      <c r="J828" s="1"/>
      <c r="K828" s="1"/>
      <c r="L828" s="1"/>
      <c r="M828" s="1"/>
      <c r="N828" s="1"/>
      <c r="O828" s="1"/>
    </row>
    <row r="829" spans="2:15" x14ac:dyDescent="0.25">
      <c r="B829" s="1"/>
      <c r="C829" s="1"/>
      <c r="D829" s="1"/>
      <c r="E829" s="1"/>
      <c r="F829" s="1"/>
      <c r="G829" s="1"/>
      <c r="H829" s="1"/>
      <c r="I829" s="1"/>
      <c r="J829" s="1"/>
      <c r="K829" s="1"/>
      <c r="L829" s="1"/>
      <c r="M829" s="1"/>
      <c r="N829" s="1"/>
      <c r="O829" s="1"/>
    </row>
    <row r="830" spans="2:15" x14ac:dyDescent="0.25">
      <c r="B830" s="1"/>
      <c r="C830" s="1"/>
      <c r="D830" s="1"/>
      <c r="E830" s="1"/>
      <c r="F830" s="1"/>
      <c r="G830" s="1"/>
      <c r="H830" s="1"/>
      <c r="I830" s="1"/>
      <c r="J830" s="1"/>
      <c r="K830" s="1"/>
      <c r="L830" s="1"/>
      <c r="M830" s="1"/>
      <c r="N830" s="1"/>
      <c r="O830" s="1"/>
    </row>
    <row r="831" spans="2:15" x14ac:dyDescent="0.25">
      <c r="B831" s="1"/>
      <c r="C831" s="1"/>
      <c r="D831" s="1"/>
      <c r="E831" s="1"/>
      <c r="F831" s="1"/>
      <c r="G831" s="1"/>
      <c r="H831" s="1"/>
      <c r="I831" s="1"/>
      <c r="J831" s="1"/>
      <c r="K831" s="1"/>
      <c r="L831" s="1"/>
      <c r="M831" s="1"/>
      <c r="N831" s="1"/>
      <c r="O831" s="1"/>
    </row>
    <row r="832" spans="2:15" x14ac:dyDescent="0.25">
      <c r="B832" s="1"/>
      <c r="C832" s="1"/>
      <c r="D832" s="1"/>
      <c r="E832" s="1"/>
      <c r="F832" s="1"/>
      <c r="G832" s="1"/>
      <c r="H832" s="1"/>
      <c r="I832" s="1"/>
      <c r="J832" s="1"/>
      <c r="K832" s="1"/>
      <c r="L832" s="1"/>
      <c r="M832" s="1"/>
      <c r="N832" s="1"/>
      <c r="O832" s="1"/>
    </row>
    <row r="833" spans="2:15" x14ac:dyDescent="0.25">
      <c r="B833" s="1"/>
      <c r="C833" s="1"/>
      <c r="D833" s="1"/>
      <c r="E833" s="1"/>
      <c r="F833" s="1"/>
      <c r="G833" s="1"/>
      <c r="H833" s="1"/>
      <c r="I833" s="1"/>
      <c r="J833" s="1"/>
      <c r="K833" s="1"/>
      <c r="L833" s="1"/>
      <c r="M833" s="1"/>
      <c r="N833" s="1"/>
      <c r="O833" s="1"/>
    </row>
    <row r="834" spans="2:15" x14ac:dyDescent="0.25">
      <c r="B834" s="1"/>
      <c r="C834" s="1"/>
      <c r="D834" s="1"/>
      <c r="E834" s="1"/>
      <c r="F834" s="1"/>
      <c r="G834" s="1"/>
      <c r="H834" s="1"/>
      <c r="I834" s="1"/>
      <c r="J834" s="1"/>
      <c r="K834" s="1"/>
      <c r="L834" s="1"/>
      <c r="M834" s="1"/>
      <c r="N834" s="1"/>
      <c r="O834" s="1"/>
    </row>
    <row r="835" spans="2:15" x14ac:dyDescent="0.25">
      <c r="B835" s="1"/>
      <c r="C835" s="1"/>
      <c r="D835" s="1"/>
      <c r="E835" s="1"/>
      <c r="F835" s="1"/>
      <c r="G835" s="1"/>
      <c r="H835" s="1"/>
      <c r="I835" s="1"/>
      <c r="J835" s="1"/>
      <c r="K835" s="1"/>
      <c r="L835" s="1"/>
      <c r="M835" s="1"/>
      <c r="N835" s="1"/>
      <c r="O835" s="1"/>
    </row>
    <row r="836" spans="2:15" x14ac:dyDescent="0.25">
      <c r="B836" s="1"/>
      <c r="C836" s="1"/>
      <c r="D836" s="1"/>
      <c r="E836" s="1"/>
      <c r="F836" s="1"/>
      <c r="G836" s="1"/>
      <c r="H836" s="1"/>
      <c r="I836" s="1"/>
      <c r="J836" s="1"/>
      <c r="K836" s="1"/>
      <c r="L836" s="1"/>
      <c r="M836" s="1"/>
      <c r="N836" s="1"/>
      <c r="O836" s="1"/>
    </row>
    <row r="837" spans="2:15" x14ac:dyDescent="0.25">
      <c r="B837" s="1"/>
      <c r="C837" s="1"/>
      <c r="D837" s="1"/>
      <c r="E837" s="1"/>
      <c r="F837" s="1"/>
      <c r="G837" s="1"/>
      <c r="H837" s="1"/>
      <c r="I837" s="1"/>
      <c r="J837" s="1"/>
      <c r="K837" s="1"/>
      <c r="L837" s="1"/>
      <c r="M837" s="1"/>
      <c r="N837" s="1"/>
      <c r="O837" s="1"/>
    </row>
    <row r="838" spans="2:15" x14ac:dyDescent="0.25">
      <c r="B838" s="1"/>
      <c r="C838" s="1"/>
      <c r="D838" s="1"/>
      <c r="E838" s="1"/>
      <c r="F838" s="1"/>
      <c r="G838" s="1"/>
      <c r="H838" s="1"/>
      <c r="I838" s="1"/>
      <c r="J838" s="1"/>
      <c r="K838" s="1"/>
      <c r="L838" s="1"/>
      <c r="M838" s="1"/>
      <c r="N838" s="1"/>
      <c r="O838" s="1"/>
    </row>
    <row r="839" spans="2:15" x14ac:dyDescent="0.25">
      <c r="B839" s="1"/>
      <c r="C839" s="1"/>
      <c r="D839" s="1"/>
      <c r="E839" s="1"/>
      <c r="F839" s="1"/>
      <c r="G839" s="1"/>
      <c r="H839" s="1"/>
      <c r="I839" s="1"/>
      <c r="J839" s="1"/>
      <c r="K839" s="1"/>
      <c r="L839" s="1"/>
      <c r="M839" s="1"/>
      <c r="N839" s="1"/>
      <c r="O839" s="1"/>
    </row>
    <row r="840" spans="2:15" x14ac:dyDescent="0.25">
      <c r="B840" s="1"/>
      <c r="C840" s="1"/>
      <c r="D840" s="1"/>
      <c r="E840" s="1"/>
      <c r="F840" s="1"/>
      <c r="G840" s="1"/>
      <c r="H840" s="1"/>
      <c r="I840" s="1"/>
      <c r="J840" s="1"/>
      <c r="K840" s="1"/>
      <c r="L840" s="1"/>
      <c r="M840" s="1"/>
      <c r="N840" s="1"/>
      <c r="O840" s="1"/>
    </row>
    <row r="841" spans="2:15" x14ac:dyDescent="0.25">
      <c r="B841" s="1"/>
      <c r="C841" s="1"/>
      <c r="D841" s="1"/>
      <c r="E841" s="1"/>
      <c r="F841" s="1"/>
      <c r="G841" s="1"/>
      <c r="H841" s="1"/>
      <c r="I841" s="1"/>
      <c r="J841" s="1"/>
      <c r="K841" s="1"/>
      <c r="L841" s="1"/>
      <c r="M841" s="1"/>
      <c r="N841" s="1"/>
      <c r="O841" s="1"/>
    </row>
    <row r="842" spans="2:15" x14ac:dyDescent="0.25">
      <c r="B842" s="1"/>
      <c r="C842" s="1"/>
      <c r="D842" s="1"/>
      <c r="E842" s="1"/>
      <c r="F842" s="1"/>
      <c r="G842" s="1"/>
      <c r="H842" s="1"/>
      <c r="I842" s="1"/>
      <c r="J842" s="1"/>
      <c r="K842" s="1"/>
      <c r="L842" s="1"/>
      <c r="M842" s="1"/>
      <c r="N842" s="1"/>
      <c r="O842" s="1"/>
    </row>
    <row r="843" spans="2:15" x14ac:dyDescent="0.25">
      <c r="B843" s="1"/>
      <c r="C843" s="1"/>
      <c r="D843" s="1"/>
      <c r="E843" s="1"/>
      <c r="F843" s="1"/>
      <c r="G843" s="1"/>
      <c r="H843" s="1"/>
      <c r="I843" s="1"/>
      <c r="J843" s="1"/>
      <c r="K843" s="1"/>
      <c r="L843" s="1"/>
      <c r="M843" s="1"/>
      <c r="N843" s="1"/>
      <c r="O843" s="1"/>
    </row>
    <row r="844" spans="2:15" x14ac:dyDescent="0.25">
      <c r="B844" s="1"/>
      <c r="C844" s="1"/>
      <c r="D844" s="1"/>
      <c r="E844" s="1"/>
      <c r="F844" s="1"/>
      <c r="G844" s="1"/>
      <c r="H844" s="1"/>
      <c r="I844" s="1"/>
      <c r="J844" s="1"/>
      <c r="K844" s="1"/>
      <c r="L844" s="1"/>
      <c r="M844" s="1"/>
      <c r="N844" s="1"/>
      <c r="O844" s="1"/>
    </row>
    <row r="845" spans="2:15" x14ac:dyDescent="0.25">
      <c r="B845" s="1"/>
      <c r="C845" s="1"/>
      <c r="D845" s="1"/>
      <c r="E845" s="1"/>
      <c r="F845" s="1"/>
      <c r="G845" s="1"/>
      <c r="H845" s="1"/>
      <c r="I845" s="1"/>
      <c r="J845" s="1"/>
      <c r="K845" s="1"/>
      <c r="L845" s="1"/>
      <c r="M845" s="1"/>
      <c r="N845" s="1"/>
      <c r="O845" s="1"/>
    </row>
    <row r="846" spans="2:15" x14ac:dyDescent="0.25">
      <c r="B846" s="1"/>
      <c r="C846" s="1"/>
      <c r="D846" s="1"/>
      <c r="E846" s="1"/>
      <c r="F846" s="1"/>
      <c r="G846" s="1"/>
      <c r="H846" s="1"/>
      <c r="I846" s="1"/>
      <c r="J846" s="1"/>
      <c r="K846" s="1"/>
      <c r="L846" s="1"/>
      <c r="M846" s="1"/>
      <c r="N846" s="1"/>
      <c r="O846" s="1"/>
    </row>
    <row r="847" spans="2:15" x14ac:dyDescent="0.25">
      <c r="B847" s="1"/>
      <c r="C847" s="1"/>
      <c r="D847" s="1"/>
      <c r="E847" s="1"/>
      <c r="F847" s="1"/>
      <c r="G847" s="1"/>
      <c r="H847" s="1"/>
      <c r="I847" s="1"/>
      <c r="J847" s="1"/>
      <c r="K847" s="1"/>
      <c r="L847" s="1"/>
      <c r="M847" s="1"/>
      <c r="N847" s="1"/>
      <c r="O847" s="1"/>
    </row>
    <row r="848" spans="2:15" x14ac:dyDescent="0.25">
      <c r="B848" s="1"/>
      <c r="C848" s="1"/>
      <c r="D848" s="1"/>
      <c r="E848" s="1"/>
      <c r="F848" s="1"/>
      <c r="G848" s="1"/>
      <c r="H848" s="1"/>
      <c r="I848" s="1"/>
      <c r="J848" s="1"/>
      <c r="K848" s="1"/>
      <c r="L848" s="1"/>
      <c r="M848" s="1"/>
      <c r="N848" s="1"/>
      <c r="O848" s="1"/>
    </row>
    <row r="849" spans="2:15" x14ac:dyDescent="0.25">
      <c r="B849" s="1"/>
      <c r="C849" s="1"/>
      <c r="D849" s="1"/>
      <c r="E849" s="1"/>
      <c r="F849" s="1"/>
      <c r="G849" s="1"/>
      <c r="H849" s="1"/>
      <c r="I849" s="1"/>
      <c r="J849" s="1"/>
      <c r="K849" s="1"/>
      <c r="L849" s="1"/>
      <c r="M849" s="1"/>
      <c r="N849" s="1"/>
      <c r="O849" s="1"/>
    </row>
    <row r="850" spans="2:15" x14ac:dyDescent="0.25">
      <c r="B850" s="1"/>
      <c r="C850" s="1"/>
      <c r="D850" s="1"/>
      <c r="E850" s="1"/>
      <c r="F850" s="1"/>
      <c r="G850" s="1"/>
      <c r="H850" s="1"/>
      <c r="I850" s="1"/>
      <c r="J850" s="1"/>
      <c r="K850" s="1"/>
      <c r="L850" s="1"/>
      <c r="M850" s="1"/>
      <c r="N850" s="1"/>
      <c r="O850" s="1"/>
    </row>
    <row r="851" spans="2:15" x14ac:dyDescent="0.25">
      <c r="B851" s="1"/>
      <c r="C851" s="1"/>
      <c r="D851" s="1"/>
      <c r="E851" s="1"/>
      <c r="F851" s="1"/>
      <c r="G851" s="1"/>
      <c r="H851" s="1"/>
      <c r="I851" s="1"/>
      <c r="J851" s="1"/>
      <c r="K851" s="1"/>
      <c r="L851" s="1"/>
      <c r="M851" s="1"/>
      <c r="N851" s="1"/>
      <c r="O851" s="1"/>
    </row>
    <row r="852" spans="2:15" x14ac:dyDescent="0.25">
      <c r="B852" s="1"/>
      <c r="C852" s="1"/>
      <c r="D852" s="1"/>
      <c r="E852" s="1"/>
      <c r="F852" s="1"/>
      <c r="G852" s="1"/>
      <c r="H852" s="1"/>
      <c r="I852" s="1"/>
      <c r="J852" s="1"/>
      <c r="K852" s="1"/>
      <c r="L852" s="1"/>
      <c r="M852" s="1"/>
      <c r="N852" s="1"/>
      <c r="O852" s="1"/>
    </row>
    <row r="853" spans="2:15" x14ac:dyDescent="0.25">
      <c r="B853" s="1"/>
      <c r="C853" s="1"/>
      <c r="D853" s="1"/>
      <c r="E853" s="1"/>
      <c r="F853" s="1"/>
      <c r="G853" s="1"/>
      <c r="H853" s="1"/>
      <c r="I853" s="1"/>
      <c r="J853" s="1"/>
      <c r="K853" s="1"/>
      <c r="L853" s="1"/>
      <c r="M853" s="1"/>
      <c r="N853" s="1"/>
      <c r="O853" s="1"/>
    </row>
    <row r="854" spans="2:15" x14ac:dyDescent="0.25">
      <c r="B854" s="1"/>
      <c r="C854" s="1"/>
      <c r="D854" s="1"/>
      <c r="E854" s="1"/>
      <c r="F854" s="1"/>
      <c r="G854" s="1"/>
      <c r="H854" s="1"/>
      <c r="I854" s="1"/>
      <c r="J854" s="1"/>
      <c r="K854" s="1"/>
      <c r="L854" s="1"/>
      <c r="M854" s="1"/>
      <c r="N854" s="1"/>
      <c r="O854" s="1"/>
    </row>
    <row r="855" spans="2:15" x14ac:dyDescent="0.25">
      <c r="B855" s="1"/>
      <c r="C855" s="1"/>
      <c r="D855" s="1"/>
      <c r="E855" s="1"/>
      <c r="F855" s="1"/>
      <c r="G855" s="1"/>
      <c r="H855" s="1"/>
      <c r="I855" s="1"/>
      <c r="J855" s="1"/>
      <c r="K855" s="1"/>
      <c r="L855" s="1"/>
      <c r="M855" s="1"/>
      <c r="N855" s="1"/>
      <c r="O855" s="1"/>
    </row>
    <row r="856" spans="2:15" x14ac:dyDescent="0.25">
      <c r="B856" s="1"/>
      <c r="C856" s="1"/>
      <c r="D856" s="1"/>
      <c r="E856" s="1"/>
      <c r="F856" s="1"/>
      <c r="G856" s="1"/>
      <c r="H856" s="1"/>
      <c r="I856" s="1"/>
      <c r="J856" s="1"/>
      <c r="K856" s="1"/>
      <c r="L856" s="1"/>
      <c r="M856" s="1"/>
      <c r="N856" s="1"/>
      <c r="O856" s="1"/>
    </row>
    <row r="857" spans="2:15" x14ac:dyDescent="0.25">
      <c r="B857" s="1"/>
      <c r="C857" s="1"/>
      <c r="D857" s="1"/>
      <c r="E857" s="1"/>
      <c r="F857" s="1"/>
      <c r="G857" s="1"/>
      <c r="H857" s="1"/>
      <c r="I857" s="1"/>
      <c r="J857" s="1"/>
      <c r="K857" s="1"/>
      <c r="L857" s="1"/>
      <c r="M857" s="1"/>
      <c r="N857" s="1"/>
      <c r="O857" s="1"/>
    </row>
    <row r="858" spans="2:15" x14ac:dyDescent="0.25">
      <c r="B858" s="1"/>
      <c r="C858" s="1"/>
      <c r="D858" s="1"/>
      <c r="E858" s="1"/>
      <c r="F858" s="1"/>
      <c r="G858" s="1"/>
      <c r="H858" s="1"/>
      <c r="I858" s="1"/>
      <c r="J858" s="1"/>
      <c r="K858" s="1"/>
      <c r="L858" s="1"/>
      <c r="M858" s="1"/>
      <c r="N858" s="1"/>
      <c r="O858" s="1"/>
    </row>
    <row r="859" spans="2:15" x14ac:dyDescent="0.25">
      <c r="B859" s="1"/>
      <c r="C859" s="1"/>
      <c r="D859" s="1"/>
      <c r="E859" s="1"/>
      <c r="F859" s="1"/>
      <c r="G859" s="1"/>
      <c r="H859" s="1"/>
      <c r="I859" s="1"/>
      <c r="J859" s="1"/>
      <c r="K859" s="1"/>
      <c r="L859" s="1"/>
      <c r="M859" s="1"/>
      <c r="N859" s="1"/>
      <c r="O859" s="1"/>
    </row>
    <row r="860" spans="2:15" x14ac:dyDescent="0.25">
      <c r="B860" s="1"/>
      <c r="C860" s="1"/>
      <c r="D860" s="1"/>
      <c r="E860" s="1"/>
      <c r="F860" s="1"/>
      <c r="G860" s="1"/>
      <c r="H860" s="1"/>
      <c r="I860" s="1"/>
      <c r="J860" s="1"/>
      <c r="K860" s="1"/>
      <c r="L860" s="1"/>
      <c r="M860" s="1"/>
      <c r="N860" s="1"/>
      <c r="O860" s="1"/>
    </row>
    <row r="861" spans="2:15" x14ac:dyDescent="0.25">
      <c r="B861" s="1"/>
      <c r="C861" s="1"/>
      <c r="D861" s="1"/>
      <c r="E861" s="1"/>
      <c r="F861" s="1"/>
      <c r="G861" s="1"/>
      <c r="H861" s="1"/>
      <c r="I861" s="1"/>
      <c r="J861" s="1"/>
      <c r="K861" s="1"/>
      <c r="L861" s="1"/>
      <c r="M861" s="1"/>
      <c r="N861" s="1"/>
      <c r="O861" s="1"/>
    </row>
    <row r="862" spans="2:15" x14ac:dyDescent="0.25">
      <c r="B862" s="1"/>
      <c r="C862" s="1"/>
      <c r="D862" s="1"/>
      <c r="E862" s="1"/>
      <c r="F862" s="1"/>
      <c r="G862" s="1"/>
      <c r="H862" s="1"/>
      <c r="I862" s="1"/>
      <c r="J862" s="1"/>
      <c r="K862" s="1"/>
      <c r="L862" s="1"/>
      <c r="M862" s="1"/>
      <c r="N862" s="1"/>
      <c r="O862" s="1"/>
    </row>
    <row r="863" spans="2:15" x14ac:dyDescent="0.25">
      <c r="B863" s="1"/>
      <c r="C863" s="1"/>
      <c r="D863" s="1"/>
      <c r="E863" s="1"/>
      <c r="F863" s="1"/>
      <c r="G863" s="1"/>
      <c r="H863" s="1"/>
      <c r="I863" s="1"/>
      <c r="J863" s="1"/>
      <c r="K863" s="1"/>
      <c r="L863" s="1"/>
      <c r="M863" s="1"/>
      <c r="N863" s="1"/>
      <c r="O863" s="1"/>
    </row>
    <row r="864" spans="2:15" x14ac:dyDescent="0.25">
      <c r="B864" s="1"/>
      <c r="C864" s="1"/>
      <c r="D864" s="1"/>
      <c r="E864" s="1"/>
      <c r="F864" s="1"/>
      <c r="G864" s="1"/>
      <c r="H864" s="1"/>
      <c r="I864" s="1"/>
      <c r="J864" s="1"/>
      <c r="K864" s="1"/>
      <c r="L864" s="1"/>
      <c r="M864" s="1"/>
      <c r="N864" s="1"/>
      <c r="O864" s="1"/>
    </row>
    <row r="865" spans="2:15" x14ac:dyDescent="0.25">
      <c r="B865" s="1"/>
      <c r="C865" s="1"/>
      <c r="D865" s="1"/>
      <c r="E865" s="1"/>
      <c r="F865" s="1"/>
      <c r="G865" s="1"/>
      <c r="H865" s="1"/>
      <c r="I865" s="1"/>
      <c r="J865" s="1"/>
      <c r="K865" s="1"/>
      <c r="L865" s="1"/>
      <c r="M865" s="1"/>
      <c r="N865" s="1"/>
      <c r="O865" s="1"/>
    </row>
    <row r="866" spans="2:15" x14ac:dyDescent="0.25">
      <c r="B866" s="1"/>
      <c r="C866" s="1"/>
      <c r="D866" s="1"/>
      <c r="E866" s="1"/>
      <c r="F866" s="1"/>
      <c r="G866" s="1"/>
      <c r="H866" s="1"/>
      <c r="I866" s="1"/>
      <c r="J866" s="1"/>
      <c r="K866" s="1"/>
      <c r="L866" s="1"/>
      <c r="M866" s="1"/>
      <c r="N866" s="1"/>
      <c r="O866" s="1"/>
    </row>
    <row r="867" spans="2:15" x14ac:dyDescent="0.25">
      <c r="B867" s="1"/>
      <c r="C867" s="1"/>
      <c r="D867" s="1"/>
      <c r="E867" s="1"/>
      <c r="F867" s="1"/>
      <c r="G867" s="1"/>
      <c r="H867" s="1"/>
      <c r="I867" s="1"/>
      <c r="J867" s="1"/>
      <c r="K867" s="1"/>
      <c r="L867" s="1"/>
      <c r="M867" s="1"/>
      <c r="N867" s="1"/>
      <c r="O867" s="1"/>
    </row>
    <row r="868" spans="2:15" x14ac:dyDescent="0.25">
      <c r="B868" s="1"/>
      <c r="C868" s="1"/>
      <c r="D868" s="1"/>
      <c r="E868" s="1"/>
      <c r="F868" s="1"/>
      <c r="G868" s="1"/>
      <c r="H868" s="1"/>
      <c r="I868" s="1"/>
      <c r="J868" s="1"/>
      <c r="K868" s="1"/>
      <c r="L868" s="1"/>
      <c r="M868" s="1"/>
      <c r="N868" s="1"/>
      <c r="O868" s="1"/>
    </row>
    <row r="869" spans="2:15" x14ac:dyDescent="0.25">
      <c r="B869" s="1"/>
      <c r="C869" s="1"/>
      <c r="D869" s="1"/>
      <c r="E869" s="1"/>
      <c r="F869" s="1"/>
      <c r="G869" s="1"/>
      <c r="H869" s="1"/>
      <c r="I869" s="1"/>
      <c r="J869" s="1"/>
      <c r="K869" s="1"/>
      <c r="L869" s="1"/>
      <c r="M869" s="1"/>
      <c r="N869" s="1"/>
      <c r="O869" s="1"/>
    </row>
    <row r="870" spans="2:15" x14ac:dyDescent="0.25">
      <c r="B870" s="1"/>
      <c r="C870" s="1"/>
      <c r="D870" s="1"/>
      <c r="E870" s="1"/>
      <c r="F870" s="1"/>
      <c r="G870" s="1"/>
      <c r="H870" s="1"/>
      <c r="I870" s="1"/>
      <c r="J870" s="1"/>
      <c r="K870" s="1"/>
      <c r="L870" s="1"/>
      <c r="M870" s="1"/>
      <c r="N870" s="1"/>
      <c r="O870" s="1"/>
    </row>
    <row r="871" spans="2:15" x14ac:dyDescent="0.25">
      <c r="B871" s="1"/>
      <c r="C871" s="1"/>
      <c r="D871" s="1"/>
      <c r="E871" s="1"/>
      <c r="F871" s="1"/>
      <c r="G871" s="1"/>
      <c r="H871" s="1"/>
      <c r="I871" s="1"/>
      <c r="J871" s="1"/>
      <c r="K871" s="1"/>
      <c r="L871" s="1"/>
      <c r="M871" s="1"/>
      <c r="N871" s="1"/>
      <c r="O871" s="1"/>
    </row>
    <row r="872" spans="2:15" x14ac:dyDescent="0.25">
      <c r="B872" s="1"/>
      <c r="C872" s="1"/>
      <c r="D872" s="1"/>
      <c r="E872" s="1"/>
      <c r="F872" s="1"/>
      <c r="G872" s="1"/>
      <c r="H872" s="1"/>
      <c r="I872" s="1"/>
      <c r="J872" s="1"/>
      <c r="K872" s="1"/>
      <c r="L872" s="1"/>
      <c r="M872" s="1"/>
      <c r="N872" s="1"/>
      <c r="O872" s="1"/>
    </row>
    <row r="873" spans="2:15" x14ac:dyDescent="0.25">
      <c r="B873" s="1"/>
      <c r="C873" s="1"/>
      <c r="D873" s="1"/>
      <c r="E873" s="1"/>
      <c r="F873" s="1"/>
      <c r="G873" s="1"/>
      <c r="H873" s="1"/>
      <c r="I873" s="1"/>
      <c r="J873" s="1"/>
      <c r="K873" s="1"/>
      <c r="L873" s="1"/>
      <c r="M873" s="1"/>
      <c r="N873" s="1"/>
      <c r="O873" s="1"/>
    </row>
    <row r="874" spans="2:15" x14ac:dyDescent="0.25">
      <c r="B874" s="1"/>
      <c r="C874" s="1"/>
      <c r="D874" s="1"/>
      <c r="E874" s="1"/>
      <c r="F874" s="1"/>
      <c r="G874" s="1"/>
      <c r="H874" s="1"/>
      <c r="I874" s="1"/>
      <c r="J874" s="1"/>
      <c r="K874" s="1"/>
      <c r="L874" s="1"/>
      <c r="M874" s="1"/>
      <c r="N874" s="1"/>
      <c r="O874" s="1"/>
    </row>
    <row r="875" spans="2:15" x14ac:dyDescent="0.25">
      <c r="B875" s="1"/>
      <c r="C875" s="1"/>
      <c r="D875" s="1"/>
      <c r="E875" s="1"/>
      <c r="F875" s="1"/>
      <c r="G875" s="1"/>
      <c r="H875" s="1"/>
      <c r="I875" s="1"/>
      <c r="J875" s="1"/>
      <c r="K875" s="1"/>
      <c r="L875" s="1"/>
      <c r="M875" s="1"/>
      <c r="N875" s="1"/>
      <c r="O875" s="1"/>
    </row>
    <row r="876" spans="2:15" x14ac:dyDescent="0.25">
      <c r="B876" s="1"/>
      <c r="C876" s="1"/>
      <c r="D876" s="1"/>
      <c r="E876" s="1"/>
      <c r="F876" s="1"/>
      <c r="G876" s="1"/>
      <c r="H876" s="1"/>
      <c r="I876" s="1"/>
      <c r="J876" s="1"/>
      <c r="K876" s="1"/>
      <c r="L876" s="1"/>
      <c r="M876" s="1"/>
      <c r="N876" s="1"/>
      <c r="O876" s="1"/>
    </row>
    <row r="877" spans="2:15" x14ac:dyDescent="0.25">
      <c r="B877" s="1"/>
      <c r="C877" s="1"/>
      <c r="D877" s="1"/>
      <c r="E877" s="1"/>
      <c r="F877" s="1"/>
      <c r="G877" s="1"/>
      <c r="H877" s="1"/>
      <c r="I877" s="1"/>
      <c r="J877" s="1"/>
      <c r="K877" s="1"/>
      <c r="L877" s="1"/>
      <c r="M877" s="1"/>
      <c r="N877" s="1"/>
      <c r="O877" s="1"/>
    </row>
    <row r="878" spans="2:15" x14ac:dyDescent="0.25">
      <c r="B878" s="1"/>
      <c r="C878" s="1"/>
      <c r="D878" s="1"/>
      <c r="E878" s="1"/>
      <c r="F878" s="1"/>
      <c r="G878" s="1"/>
      <c r="H878" s="1"/>
      <c r="I878" s="1"/>
      <c r="J878" s="1"/>
      <c r="K878" s="1"/>
      <c r="L878" s="1"/>
      <c r="M878" s="1"/>
      <c r="N878" s="1"/>
      <c r="O878" s="1"/>
    </row>
    <row r="879" spans="2:15" x14ac:dyDescent="0.25">
      <c r="B879" s="1"/>
      <c r="C879" s="1"/>
      <c r="D879" s="1"/>
      <c r="E879" s="1"/>
      <c r="F879" s="1"/>
      <c r="G879" s="1"/>
      <c r="H879" s="1"/>
      <c r="I879" s="1"/>
      <c r="J879" s="1"/>
      <c r="K879" s="1"/>
      <c r="L879" s="1"/>
      <c r="M879" s="1"/>
      <c r="N879" s="1"/>
      <c r="O879" s="1"/>
    </row>
    <row r="880" spans="2:15" x14ac:dyDescent="0.25">
      <c r="B880" s="1"/>
      <c r="C880" s="1"/>
      <c r="D880" s="1"/>
      <c r="E880" s="1"/>
      <c r="F880" s="1"/>
      <c r="G880" s="1"/>
      <c r="H880" s="1"/>
      <c r="I880" s="1"/>
      <c r="J880" s="1"/>
      <c r="K880" s="1"/>
      <c r="L880" s="1"/>
      <c r="M880" s="1"/>
      <c r="N880" s="1"/>
      <c r="O880" s="1"/>
    </row>
    <row r="881" spans="2:15" x14ac:dyDescent="0.25">
      <c r="B881" s="1"/>
      <c r="C881" s="1"/>
      <c r="D881" s="1"/>
      <c r="E881" s="1"/>
      <c r="F881" s="1"/>
      <c r="G881" s="1"/>
      <c r="H881" s="1"/>
      <c r="I881" s="1"/>
      <c r="J881" s="1"/>
      <c r="K881" s="1"/>
      <c r="L881" s="1"/>
      <c r="M881" s="1"/>
      <c r="N881" s="1"/>
      <c r="O881" s="1"/>
    </row>
    <row r="882" spans="2:15" x14ac:dyDescent="0.25">
      <c r="B882" s="1"/>
      <c r="C882" s="1"/>
      <c r="D882" s="1"/>
      <c r="E882" s="1"/>
      <c r="F882" s="1"/>
      <c r="G882" s="1"/>
      <c r="H882" s="1"/>
      <c r="I882" s="1"/>
      <c r="J882" s="1"/>
      <c r="K882" s="1"/>
      <c r="L882" s="1"/>
      <c r="M882" s="1"/>
      <c r="N882" s="1"/>
      <c r="O882" s="1"/>
    </row>
    <row r="883" spans="2:15" x14ac:dyDescent="0.25">
      <c r="B883" s="1"/>
      <c r="C883" s="1"/>
      <c r="D883" s="1"/>
      <c r="E883" s="1"/>
      <c r="F883" s="1"/>
      <c r="G883" s="1"/>
      <c r="H883" s="1"/>
      <c r="I883" s="1"/>
      <c r="J883" s="1"/>
      <c r="K883" s="1"/>
      <c r="L883" s="1"/>
      <c r="M883" s="1"/>
      <c r="N883" s="1"/>
      <c r="O883" s="1"/>
    </row>
    <row r="884" spans="2:15" x14ac:dyDescent="0.25">
      <c r="B884" s="1"/>
      <c r="C884" s="1"/>
      <c r="D884" s="1"/>
      <c r="E884" s="1"/>
      <c r="F884" s="1"/>
      <c r="G884" s="1"/>
      <c r="H884" s="1"/>
      <c r="I884" s="1"/>
      <c r="J884" s="1"/>
      <c r="K884" s="1"/>
      <c r="L884" s="1"/>
      <c r="M884" s="1"/>
      <c r="N884" s="1"/>
      <c r="O884" s="1"/>
    </row>
    <row r="885" spans="2:15" x14ac:dyDescent="0.25">
      <c r="B885" s="1"/>
      <c r="C885" s="1"/>
      <c r="D885" s="1"/>
      <c r="E885" s="1"/>
      <c r="F885" s="1"/>
      <c r="G885" s="1"/>
      <c r="H885" s="1"/>
      <c r="I885" s="1"/>
      <c r="J885" s="1"/>
      <c r="K885" s="1"/>
      <c r="L885" s="1"/>
      <c r="M885" s="1"/>
      <c r="N885" s="1"/>
      <c r="O885" s="1"/>
    </row>
    <row r="886" spans="2:15" x14ac:dyDescent="0.25">
      <c r="B886" s="1"/>
      <c r="C886" s="1"/>
      <c r="D886" s="1"/>
      <c r="E886" s="1"/>
      <c r="F886" s="1"/>
      <c r="G886" s="1"/>
      <c r="H886" s="1"/>
      <c r="I886" s="1"/>
      <c r="J886" s="1"/>
      <c r="K886" s="1"/>
      <c r="L886" s="1"/>
      <c r="M886" s="1"/>
      <c r="N886" s="1"/>
      <c r="O886" s="1"/>
    </row>
    <row r="887" spans="2:15" x14ac:dyDescent="0.25">
      <c r="B887" s="1"/>
      <c r="C887" s="1"/>
      <c r="D887" s="1"/>
      <c r="E887" s="1"/>
      <c r="F887" s="1"/>
      <c r="G887" s="1"/>
      <c r="H887" s="1"/>
      <c r="I887" s="1"/>
      <c r="J887" s="1"/>
      <c r="K887" s="1"/>
      <c r="L887" s="1"/>
      <c r="M887" s="1"/>
      <c r="N887" s="1"/>
      <c r="O887" s="1"/>
    </row>
    <row r="888" spans="2:15" x14ac:dyDescent="0.25">
      <c r="B888" s="1"/>
      <c r="C888" s="1"/>
      <c r="D888" s="1"/>
      <c r="E888" s="1"/>
      <c r="F888" s="1"/>
      <c r="G888" s="1"/>
      <c r="H888" s="1"/>
      <c r="I888" s="1"/>
      <c r="J888" s="1"/>
      <c r="K888" s="1"/>
      <c r="L888" s="1"/>
      <c r="M888" s="1"/>
      <c r="N888" s="1"/>
      <c r="O888" s="1"/>
    </row>
    <row r="889" spans="2:15" x14ac:dyDescent="0.25">
      <c r="B889" s="1"/>
      <c r="C889" s="1"/>
      <c r="D889" s="1"/>
      <c r="E889" s="1"/>
      <c r="F889" s="1"/>
      <c r="G889" s="1"/>
      <c r="H889" s="1"/>
      <c r="I889" s="1"/>
      <c r="J889" s="1"/>
      <c r="K889" s="1"/>
      <c r="L889" s="1"/>
      <c r="M889" s="1"/>
      <c r="N889" s="1"/>
      <c r="O889" s="1"/>
    </row>
    <row r="890" spans="2:15" x14ac:dyDescent="0.25">
      <c r="B890" s="1"/>
      <c r="C890" s="1"/>
      <c r="D890" s="1"/>
      <c r="E890" s="1"/>
      <c r="F890" s="1"/>
      <c r="G890" s="1"/>
      <c r="H890" s="1"/>
      <c r="I890" s="1"/>
      <c r="J890" s="1"/>
      <c r="K890" s="1"/>
      <c r="L890" s="1"/>
      <c r="M890" s="1"/>
      <c r="N890" s="1"/>
      <c r="O890" s="1"/>
    </row>
    <row r="891" spans="2:15" x14ac:dyDescent="0.25">
      <c r="B891" s="1"/>
      <c r="C891" s="1"/>
      <c r="D891" s="1"/>
      <c r="E891" s="1"/>
      <c r="F891" s="1"/>
      <c r="G891" s="1"/>
      <c r="H891" s="1"/>
      <c r="I891" s="1"/>
      <c r="J891" s="1"/>
      <c r="K891" s="1"/>
      <c r="L891" s="1"/>
      <c r="M891" s="1"/>
      <c r="N891" s="1"/>
      <c r="O891" s="1"/>
    </row>
    <row r="892" spans="2:15" x14ac:dyDescent="0.25">
      <c r="B892" s="1"/>
      <c r="C892" s="1"/>
      <c r="D892" s="1"/>
      <c r="E892" s="1"/>
      <c r="F892" s="1"/>
      <c r="G892" s="1"/>
      <c r="H892" s="1"/>
      <c r="I892" s="1"/>
      <c r="J892" s="1"/>
      <c r="K892" s="1"/>
      <c r="L892" s="1"/>
      <c r="M892" s="1"/>
      <c r="N892" s="1"/>
      <c r="O892" s="1"/>
    </row>
    <row r="893" spans="2:15" x14ac:dyDescent="0.25">
      <c r="B893" s="1"/>
      <c r="C893" s="1"/>
      <c r="D893" s="1"/>
      <c r="E893" s="1"/>
      <c r="F893" s="1"/>
      <c r="G893" s="1"/>
      <c r="H893" s="1"/>
      <c r="I893" s="1"/>
      <c r="J893" s="1"/>
      <c r="K893" s="1"/>
      <c r="L893" s="1"/>
      <c r="M893" s="1"/>
      <c r="N893" s="1"/>
      <c r="O893" s="1"/>
    </row>
    <row r="894" spans="2:15" x14ac:dyDescent="0.25">
      <c r="B894" s="1"/>
      <c r="C894" s="1"/>
      <c r="D894" s="1"/>
      <c r="E894" s="1"/>
      <c r="F894" s="1"/>
      <c r="G894" s="1"/>
      <c r="H894" s="1"/>
      <c r="I894" s="1"/>
      <c r="J894" s="1"/>
      <c r="K894" s="1"/>
      <c r="L894" s="1"/>
      <c r="M894" s="1"/>
      <c r="N894" s="1"/>
      <c r="O894" s="1"/>
    </row>
    <row r="895" spans="2:15" x14ac:dyDescent="0.25">
      <c r="B895" s="1"/>
      <c r="C895" s="1"/>
      <c r="D895" s="1"/>
      <c r="E895" s="1"/>
      <c r="F895" s="1"/>
      <c r="G895" s="1"/>
      <c r="H895" s="1"/>
      <c r="I895" s="1"/>
      <c r="J895" s="1"/>
      <c r="K895" s="1"/>
      <c r="L895" s="1"/>
      <c r="M895" s="1"/>
      <c r="N895" s="1"/>
      <c r="O895" s="1"/>
    </row>
    <row r="896" spans="2:15" x14ac:dyDescent="0.25">
      <c r="B896" s="1"/>
      <c r="C896" s="1"/>
      <c r="D896" s="1"/>
      <c r="E896" s="1"/>
      <c r="F896" s="1"/>
      <c r="G896" s="1"/>
      <c r="H896" s="1"/>
      <c r="I896" s="1"/>
      <c r="J896" s="1"/>
      <c r="K896" s="1"/>
      <c r="L896" s="1"/>
      <c r="M896" s="1"/>
      <c r="N896" s="1"/>
      <c r="O896" s="1"/>
    </row>
    <row r="897" spans="2:15" x14ac:dyDescent="0.25">
      <c r="B897" s="1"/>
      <c r="C897" s="1"/>
      <c r="D897" s="1"/>
      <c r="E897" s="1"/>
      <c r="F897" s="1"/>
      <c r="G897" s="1"/>
      <c r="H897" s="1"/>
      <c r="I897" s="1"/>
      <c r="J897" s="1"/>
      <c r="K897" s="1"/>
      <c r="L897" s="1"/>
      <c r="M897" s="1"/>
      <c r="N897" s="1"/>
      <c r="O897" s="1"/>
    </row>
    <row r="898" spans="2:15" x14ac:dyDescent="0.25">
      <c r="B898" s="1"/>
      <c r="C898" s="1"/>
      <c r="D898" s="1"/>
      <c r="E898" s="1"/>
      <c r="F898" s="1"/>
      <c r="G898" s="1"/>
      <c r="H898" s="1"/>
      <c r="I898" s="1"/>
      <c r="J898" s="1"/>
      <c r="K898" s="1"/>
      <c r="L898" s="1"/>
      <c r="M898" s="1"/>
      <c r="N898" s="1"/>
      <c r="O898" s="1"/>
    </row>
    <row r="899" spans="2:15" x14ac:dyDescent="0.25">
      <c r="B899" s="1"/>
      <c r="C899" s="1"/>
      <c r="D899" s="1"/>
      <c r="E899" s="1"/>
      <c r="F899" s="1"/>
      <c r="G899" s="1"/>
      <c r="H899" s="1"/>
      <c r="I899" s="1"/>
      <c r="J899" s="1"/>
      <c r="K899" s="1"/>
      <c r="L899" s="1"/>
      <c r="M899" s="1"/>
      <c r="N899" s="1"/>
      <c r="O899" s="1"/>
    </row>
    <row r="900" spans="2:15" x14ac:dyDescent="0.25">
      <c r="B900" s="1"/>
      <c r="C900" s="1"/>
      <c r="D900" s="1"/>
      <c r="E900" s="1"/>
      <c r="F900" s="1"/>
      <c r="G900" s="1"/>
      <c r="H900" s="1"/>
      <c r="I900" s="1"/>
      <c r="J900" s="1"/>
      <c r="K900" s="1"/>
      <c r="L900" s="1"/>
      <c r="M900" s="1"/>
      <c r="N900" s="1"/>
      <c r="O900" s="1"/>
    </row>
    <row r="901" spans="2:15" x14ac:dyDescent="0.25">
      <c r="B901" s="1"/>
      <c r="C901" s="1"/>
      <c r="D901" s="1"/>
      <c r="E901" s="1"/>
      <c r="F901" s="1"/>
      <c r="G901" s="1"/>
      <c r="H901" s="1"/>
      <c r="I901" s="1"/>
      <c r="J901" s="1"/>
      <c r="K901" s="1"/>
      <c r="L901" s="1"/>
      <c r="M901" s="1"/>
      <c r="N901" s="1"/>
      <c r="O901" s="1"/>
    </row>
    <row r="902" spans="2:15" x14ac:dyDescent="0.25">
      <c r="B902" s="1"/>
      <c r="C902" s="1"/>
      <c r="D902" s="1"/>
      <c r="E902" s="1"/>
      <c r="F902" s="1"/>
      <c r="G902" s="1"/>
      <c r="H902" s="1"/>
      <c r="I902" s="1"/>
      <c r="J902" s="1"/>
      <c r="K902" s="1"/>
      <c r="L902" s="1"/>
      <c r="M902" s="1"/>
      <c r="N902" s="1"/>
      <c r="O902" s="1"/>
    </row>
    <row r="903" spans="2:15" x14ac:dyDescent="0.25">
      <c r="B903" s="1"/>
      <c r="C903" s="1"/>
      <c r="D903" s="1"/>
      <c r="E903" s="1"/>
      <c r="F903" s="1"/>
      <c r="G903" s="1"/>
      <c r="H903" s="1"/>
      <c r="I903" s="1"/>
      <c r="J903" s="1"/>
      <c r="K903" s="1"/>
      <c r="L903" s="1"/>
      <c r="M903" s="1"/>
      <c r="N903" s="1"/>
      <c r="O903" s="1"/>
    </row>
    <row r="904" spans="2:15" x14ac:dyDescent="0.25">
      <c r="B904" s="1"/>
      <c r="C904" s="1"/>
      <c r="D904" s="1"/>
      <c r="E904" s="1"/>
      <c r="F904" s="1"/>
      <c r="G904" s="1"/>
      <c r="H904" s="1"/>
      <c r="I904" s="1"/>
      <c r="J904" s="1"/>
      <c r="K904" s="1"/>
      <c r="L904" s="1"/>
      <c r="M904" s="1"/>
      <c r="N904" s="1"/>
      <c r="O904" s="1"/>
    </row>
    <row r="905" spans="2:15" x14ac:dyDescent="0.25">
      <c r="B905" s="1"/>
      <c r="C905" s="1"/>
      <c r="D905" s="1"/>
      <c r="E905" s="1"/>
      <c r="F905" s="1"/>
      <c r="G905" s="1"/>
      <c r="H905" s="1"/>
      <c r="I905" s="1"/>
      <c r="J905" s="1"/>
      <c r="K905" s="1"/>
      <c r="L905" s="1"/>
      <c r="M905" s="1"/>
      <c r="N905" s="1"/>
      <c r="O905" s="1"/>
    </row>
    <row r="906" spans="2:15" x14ac:dyDescent="0.25">
      <c r="B906" s="1"/>
      <c r="C906" s="1"/>
      <c r="D906" s="1"/>
      <c r="E906" s="1"/>
      <c r="F906" s="1"/>
      <c r="G906" s="1"/>
      <c r="H906" s="1"/>
      <c r="I906" s="1"/>
      <c r="J906" s="1"/>
      <c r="K906" s="1"/>
      <c r="L906" s="1"/>
      <c r="M906" s="1"/>
      <c r="N906" s="1"/>
      <c r="O906" s="1"/>
    </row>
    <row r="907" spans="2:15" x14ac:dyDescent="0.25">
      <c r="B907" s="1"/>
      <c r="C907" s="1"/>
      <c r="D907" s="1"/>
      <c r="E907" s="1"/>
      <c r="F907" s="1"/>
      <c r="G907" s="1"/>
      <c r="H907" s="1"/>
      <c r="I907" s="1"/>
      <c r="J907" s="1"/>
      <c r="K907" s="1"/>
      <c r="L907" s="1"/>
      <c r="M907" s="1"/>
      <c r="N907" s="1"/>
      <c r="O907" s="1"/>
    </row>
    <row r="908" spans="2:15" x14ac:dyDescent="0.25">
      <c r="B908" s="1"/>
      <c r="C908" s="1"/>
      <c r="D908" s="1"/>
      <c r="E908" s="1"/>
      <c r="F908" s="1"/>
      <c r="G908" s="1"/>
      <c r="H908" s="1"/>
      <c r="I908" s="1"/>
      <c r="J908" s="1"/>
      <c r="K908" s="1"/>
      <c r="L908" s="1"/>
      <c r="M908" s="1"/>
      <c r="N908" s="1"/>
      <c r="O908" s="1"/>
    </row>
    <row r="909" spans="2:15" x14ac:dyDescent="0.25">
      <c r="B909" s="1"/>
      <c r="C909" s="1"/>
      <c r="D909" s="1"/>
      <c r="E909" s="1"/>
      <c r="F909" s="1"/>
      <c r="G909" s="1"/>
      <c r="H909" s="1"/>
      <c r="I909" s="1"/>
      <c r="J909" s="1"/>
      <c r="K909" s="1"/>
      <c r="L909" s="1"/>
      <c r="M909" s="1"/>
      <c r="N909" s="1"/>
      <c r="O909" s="1"/>
    </row>
    <row r="910" spans="2:15" x14ac:dyDescent="0.25">
      <c r="B910" s="1"/>
      <c r="C910" s="1"/>
      <c r="D910" s="1"/>
      <c r="E910" s="1"/>
      <c r="F910" s="1"/>
      <c r="G910" s="1"/>
      <c r="H910" s="1"/>
      <c r="I910" s="1"/>
      <c r="J910" s="1"/>
      <c r="K910" s="1"/>
      <c r="L910" s="1"/>
      <c r="M910" s="1"/>
      <c r="N910" s="1"/>
      <c r="O910" s="1"/>
    </row>
    <row r="911" spans="2:15" x14ac:dyDescent="0.25">
      <c r="B911" s="1"/>
      <c r="C911" s="1"/>
      <c r="D911" s="1"/>
      <c r="E911" s="1"/>
      <c r="F911" s="1"/>
      <c r="G911" s="1"/>
      <c r="H911" s="1"/>
      <c r="I911" s="1"/>
      <c r="J911" s="1"/>
      <c r="K911" s="1"/>
      <c r="L911" s="1"/>
      <c r="M911" s="1"/>
      <c r="N911" s="1"/>
      <c r="O911" s="1"/>
    </row>
    <row r="912" spans="2:15" x14ac:dyDescent="0.25">
      <c r="B912" s="1"/>
      <c r="C912" s="1"/>
      <c r="D912" s="1"/>
      <c r="E912" s="1"/>
      <c r="F912" s="1"/>
      <c r="G912" s="1"/>
      <c r="H912" s="1"/>
      <c r="I912" s="1"/>
      <c r="J912" s="1"/>
      <c r="K912" s="1"/>
      <c r="L912" s="1"/>
      <c r="M912" s="1"/>
      <c r="N912" s="1"/>
      <c r="O912" s="1"/>
    </row>
    <row r="913" spans="2:15" x14ac:dyDescent="0.25">
      <c r="B913" s="1"/>
      <c r="C913" s="1"/>
      <c r="D913" s="1"/>
      <c r="E913" s="1"/>
      <c r="F913" s="1"/>
      <c r="G913" s="1"/>
      <c r="H913" s="1"/>
      <c r="I913" s="1"/>
      <c r="J913" s="1"/>
      <c r="K913" s="1"/>
      <c r="L913" s="1"/>
      <c r="M913" s="1"/>
      <c r="N913" s="1"/>
      <c r="O913" s="1"/>
    </row>
    <row r="914" spans="2:15" x14ac:dyDescent="0.25">
      <c r="B914" s="1"/>
      <c r="C914" s="1"/>
      <c r="D914" s="1"/>
      <c r="E914" s="1"/>
      <c r="F914" s="1"/>
      <c r="G914" s="1"/>
      <c r="H914" s="1"/>
      <c r="I914" s="1"/>
      <c r="J914" s="1"/>
      <c r="K914" s="1"/>
      <c r="L914" s="1"/>
      <c r="M914" s="1"/>
      <c r="N914" s="1"/>
      <c r="O914" s="1"/>
    </row>
    <row r="915" spans="2:15" x14ac:dyDescent="0.25">
      <c r="B915" s="1"/>
      <c r="C915" s="1"/>
      <c r="D915" s="1"/>
      <c r="E915" s="1"/>
      <c r="F915" s="1"/>
      <c r="G915" s="1"/>
      <c r="H915" s="1"/>
      <c r="I915" s="1"/>
      <c r="J915" s="1"/>
      <c r="K915" s="1"/>
      <c r="L915" s="1"/>
      <c r="M915" s="1"/>
      <c r="N915" s="1"/>
      <c r="O915" s="1"/>
    </row>
    <row r="916" spans="2:15" x14ac:dyDescent="0.25">
      <c r="B916" s="1"/>
      <c r="C916" s="1"/>
      <c r="D916" s="1"/>
      <c r="E916" s="1"/>
      <c r="F916" s="1"/>
      <c r="G916" s="1"/>
      <c r="H916" s="1"/>
      <c r="I916" s="1"/>
      <c r="J916" s="1"/>
      <c r="K916" s="1"/>
      <c r="L916" s="1"/>
      <c r="M916" s="1"/>
      <c r="N916" s="1"/>
      <c r="O916" s="1"/>
    </row>
    <row r="917" spans="2:15" x14ac:dyDescent="0.25">
      <c r="B917" s="1"/>
      <c r="C917" s="1"/>
      <c r="D917" s="1"/>
      <c r="E917" s="1"/>
      <c r="F917" s="1"/>
      <c r="G917" s="1"/>
      <c r="H917" s="1"/>
      <c r="I917" s="1"/>
      <c r="J917" s="1"/>
      <c r="K917" s="1"/>
      <c r="L917" s="1"/>
      <c r="M917" s="1"/>
      <c r="N917" s="1"/>
      <c r="O917" s="1"/>
    </row>
    <row r="918" spans="2:15" x14ac:dyDescent="0.25">
      <c r="B918" s="1"/>
      <c r="C918" s="1"/>
      <c r="D918" s="1"/>
      <c r="E918" s="1"/>
      <c r="F918" s="1"/>
      <c r="G918" s="1"/>
      <c r="H918" s="1"/>
      <c r="I918" s="1"/>
      <c r="J918" s="1"/>
      <c r="K918" s="1"/>
      <c r="L918" s="1"/>
      <c r="M918" s="1"/>
      <c r="N918" s="1"/>
      <c r="O918" s="1"/>
    </row>
    <row r="919" spans="2:15" x14ac:dyDescent="0.25">
      <c r="B919" s="1"/>
      <c r="C919" s="1"/>
      <c r="D919" s="1"/>
      <c r="E919" s="1"/>
      <c r="F919" s="1"/>
      <c r="G919" s="1"/>
      <c r="H919" s="1"/>
      <c r="I919" s="1"/>
      <c r="J919" s="1"/>
      <c r="K919" s="1"/>
      <c r="L919" s="1"/>
      <c r="M919" s="1"/>
      <c r="N919" s="1"/>
      <c r="O919" s="1"/>
    </row>
    <row r="920" spans="2:15" x14ac:dyDescent="0.25">
      <c r="B920" s="1"/>
      <c r="C920" s="1"/>
      <c r="D920" s="1"/>
      <c r="E920" s="1"/>
      <c r="F920" s="1"/>
      <c r="G920" s="1"/>
      <c r="H920" s="1"/>
      <c r="I920" s="1"/>
      <c r="J920" s="1"/>
      <c r="K920" s="1"/>
      <c r="L920" s="1"/>
      <c r="M920" s="1"/>
      <c r="N920" s="1"/>
      <c r="O920" s="1"/>
    </row>
    <row r="921" spans="2:15" x14ac:dyDescent="0.25">
      <c r="B921" s="1"/>
      <c r="C921" s="1"/>
      <c r="D921" s="1"/>
      <c r="E921" s="1"/>
      <c r="F921" s="1"/>
      <c r="G921" s="1"/>
      <c r="H921" s="1"/>
      <c r="I921" s="1"/>
      <c r="J921" s="1"/>
      <c r="K921" s="1"/>
      <c r="L921" s="1"/>
      <c r="M921" s="1"/>
      <c r="N921" s="1"/>
      <c r="O921" s="1"/>
    </row>
    <row r="922" spans="2:15" x14ac:dyDescent="0.25">
      <c r="B922" s="1"/>
      <c r="C922" s="1"/>
      <c r="D922" s="1"/>
      <c r="E922" s="1"/>
      <c r="F922" s="1"/>
      <c r="G922" s="1"/>
      <c r="H922" s="1"/>
      <c r="I922" s="1"/>
      <c r="J922" s="1"/>
      <c r="K922" s="1"/>
      <c r="L922" s="1"/>
      <c r="M922" s="1"/>
      <c r="N922" s="1"/>
      <c r="O922" s="1"/>
    </row>
    <row r="923" spans="2:15" x14ac:dyDescent="0.25">
      <c r="B923" s="1"/>
      <c r="C923" s="1"/>
      <c r="D923" s="1"/>
      <c r="E923" s="1"/>
      <c r="F923" s="1"/>
      <c r="G923" s="1"/>
      <c r="H923" s="1"/>
      <c r="I923" s="1"/>
      <c r="J923" s="1"/>
      <c r="K923" s="1"/>
      <c r="L923" s="1"/>
      <c r="M923" s="1"/>
      <c r="N923" s="1"/>
      <c r="O923" s="1"/>
    </row>
    <row r="924" spans="2:15" x14ac:dyDescent="0.25">
      <c r="B924" s="1"/>
      <c r="C924" s="1"/>
      <c r="D924" s="1"/>
      <c r="E924" s="1"/>
      <c r="F924" s="1"/>
      <c r="G924" s="1"/>
      <c r="H924" s="1"/>
      <c r="I924" s="1"/>
      <c r="J924" s="1"/>
      <c r="K924" s="1"/>
      <c r="L924" s="1"/>
      <c r="M924" s="1"/>
      <c r="N924" s="1"/>
      <c r="O924" s="1"/>
    </row>
    <row r="925" spans="2:15" x14ac:dyDescent="0.25">
      <c r="B925" s="1"/>
      <c r="C925" s="1"/>
      <c r="D925" s="1"/>
      <c r="E925" s="1"/>
      <c r="F925" s="1"/>
      <c r="G925" s="1"/>
      <c r="H925" s="1"/>
      <c r="I925" s="1"/>
      <c r="J925" s="1"/>
      <c r="K925" s="1"/>
      <c r="L925" s="1"/>
      <c r="M925" s="1"/>
      <c r="N925" s="1"/>
      <c r="O925" s="1"/>
    </row>
    <row r="926" spans="2:15" x14ac:dyDescent="0.25">
      <c r="B926" s="1"/>
      <c r="C926" s="1"/>
      <c r="D926" s="1"/>
      <c r="E926" s="1"/>
      <c r="F926" s="1"/>
      <c r="G926" s="1"/>
      <c r="H926" s="1"/>
      <c r="I926" s="1"/>
      <c r="J926" s="1"/>
      <c r="K926" s="1"/>
      <c r="L926" s="1"/>
      <c r="M926" s="1"/>
      <c r="N926" s="1"/>
      <c r="O926" s="1"/>
    </row>
    <row r="927" spans="2:15" x14ac:dyDescent="0.25">
      <c r="B927" s="1"/>
      <c r="C927" s="1"/>
      <c r="D927" s="1"/>
      <c r="E927" s="1"/>
      <c r="F927" s="1"/>
      <c r="G927" s="1"/>
      <c r="H927" s="1"/>
      <c r="I927" s="1"/>
      <c r="J927" s="1"/>
      <c r="K927" s="1"/>
      <c r="L927" s="1"/>
      <c r="M927" s="1"/>
      <c r="N927" s="1"/>
      <c r="O927" s="1"/>
    </row>
    <row r="928" spans="2:15" x14ac:dyDescent="0.25">
      <c r="B928" s="1"/>
      <c r="C928" s="1"/>
      <c r="D928" s="1"/>
      <c r="E928" s="1"/>
      <c r="F928" s="1"/>
      <c r="G928" s="1"/>
      <c r="H928" s="1"/>
      <c r="I928" s="1"/>
      <c r="J928" s="1"/>
      <c r="K928" s="1"/>
      <c r="L928" s="1"/>
      <c r="M928" s="1"/>
      <c r="N928" s="1"/>
      <c r="O928" s="1"/>
    </row>
    <row r="929" spans="2:15" x14ac:dyDescent="0.25">
      <c r="B929" s="1"/>
      <c r="C929" s="1"/>
      <c r="D929" s="1"/>
      <c r="E929" s="1"/>
      <c r="F929" s="1"/>
      <c r="G929" s="1"/>
      <c r="H929" s="1"/>
      <c r="I929" s="1"/>
      <c r="J929" s="1"/>
      <c r="K929" s="1"/>
      <c r="L929" s="1"/>
      <c r="M929" s="1"/>
      <c r="N929" s="1"/>
      <c r="O929" s="1"/>
    </row>
    <row r="930" spans="2:15" x14ac:dyDescent="0.25">
      <c r="B930" s="1"/>
      <c r="C930" s="1"/>
      <c r="D930" s="1"/>
      <c r="E930" s="1"/>
      <c r="F930" s="1"/>
      <c r="G930" s="1"/>
      <c r="H930" s="1"/>
      <c r="I930" s="1"/>
      <c r="J930" s="1"/>
      <c r="K930" s="1"/>
      <c r="L930" s="1"/>
      <c r="M930" s="1"/>
      <c r="N930" s="1"/>
      <c r="O930" s="1"/>
    </row>
    <row r="931" spans="2:15" x14ac:dyDescent="0.25">
      <c r="B931" s="1"/>
      <c r="C931" s="1"/>
      <c r="D931" s="1"/>
      <c r="E931" s="1"/>
      <c r="F931" s="1"/>
      <c r="G931" s="1"/>
      <c r="H931" s="1"/>
      <c r="I931" s="1"/>
      <c r="J931" s="1"/>
      <c r="K931" s="1"/>
      <c r="L931" s="1"/>
      <c r="M931" s="1"/>
      <c r="N931" s="1"/>
      <c r="O931" s="1"/>
    </row>
    <row r="932" spans="2:15" x14ac:dyDescent="0.25">
      <c r="B932" s="1"/>
      <c r="C932" s="1"/>
      <c r="D932" s="1"/>
      <c r="E932" s="1"/>
      <c r="F932" s="1"/>
      <c r="G932" s="1"/>
      <c r="H932" s="1"/>
      <c r="I932" s="1"/>
      <c r="J932" s="1"/>
      <c r="K932" s="1"/>
      <c r="L932" s="1"/>
      <c r="M932" s="1"/>
      <c r="N932" s="1"/>
      <c r="O932" s="1"/>
    </row>
    <row r="933" spans="2:15" x14ac:dyDescent="0.25">
      <c r="B933" s="1"/>
      <c r="C933" s="1"/>
      <c r="D933" s="1"/>
      <c r="E933" s="1"/>
      <c r="F933" s="1"/>
      <c r="G933" s="1"/>
      <c r="H933" s="1"/>
      <c r="I933" s="1"/>
      <c r="J933" s="1"/>
      <c r="K933" s="1"/>
      <c r="L933" s="1"/>
      <c r="M933" s="1"/>
      <c r="N933" s="1"/>
      <c r="O933" s="1"/>
    </row>
    <row r="934" spans="2:15" x14ac:dyDescent="0.25">
      <c r="B934" s="1"/>
      <c r="C934" s="1"/>
      <c r="D934" s="1"/>
      <c r="E934" s="1"/>
      <c r="F934" s="1"/>
      <c r="G934" s="1"/>
      <c r="H934" s="1"/>
      <c r="I934" s="1"/>
      <c r="J934" s="1"/>
      <c r="K934" s="1"/>
      <c r="L934" s="1"/>
      <c r="M934" s="1"/>
      <c r="N934" s="1"/>
      <c r="O934" s="1"/>
    </row>
    <row r="935" spans="2:15" x14ac:dyDescent="0.25">
      <c r="B935" s="1"/>
      <c r="C935" s="1"/>
      <c r="D935" s="1"/>
      <c r="E935" s="1"/>
      <c r="F935" s="1"/>
      <c r="G935" s="1"/>
      <c r="H935" s="1"/>
      <c r="I935" s="1"/>
      <c r="J935" s="1"/>
      <c r="K935" s="1"/>
      <c r="L935" s="1"/>
      <c r="M935" s="1"/>
      <c r="N935" s="1"/>
      <c r="O935" s="1"/>
    </row>
    <row r="936" spans="2:15" x14ac:dyDescent="0.25">
      <c r="B936" s="1"/>
      <c r="C936" s="1"/>
      <c r="D936" s="1"/>
      <c r="E936" s="1"/>
      <c r="F936" s="1"/>
      <c r="G936" s="1"/>
      <c r="H936" s="1"/>
      <c r="I936" s="1"/>
      <c r="J936" s="1"/>
      <c r="K936" s="1"/>
      <c r="L936" s="1"/>
      <c r="M936" s="1"/>
      <c r="N936" s="1"/>
      <c r="O936" s="1"/>
    </row>
    <row r="937" spans="2:15" x14ac:dyDescent="0.25">
      <c r="B937" s="1"/>
      <c r="C937" s="1"/>
      <c r="D937" s="1"/>
      <c r="E937" s="1"/>
      <c r="F937" s="1"/>
      <c r="G937" s="1"/>
      <c r="H937" s="1"/>
      <c r="I937" s="1"/>
      <c r="J937" s="1"/>
      <c r="K937" s="1"/>
      <c r="L937" s="1"/>
      <c r="M937" s="1"/>
      <c r="N937" s="1"/>
      <c r="O937" s="1"/>
    </row>
    <row r="938" spans="2:15" x14ac:dyDescent="0.25">
      <c r="B938" s="1"/>
      <c r="C938" s="1"/>
      <c r="D938" s="1"/>
      <c r="E938" s="1"/>
      <c r="F938" s="1"/>
      <c r="G938" s="1"/>
      <c r="H938" s="1"/>
      <c r="I938" s="1"/>
      <c r="J938" s="1"/>
      <c r="K938" s="1"/>
      <c r="L938" s="1"/>
      <c r="M938" s="1"/>
      <c r="N938" s="1"/>
      <c r="O938" s="1"/>
    </row>
    <row r="939" spans="2:15" x14ac:dyDescent="0.25">
      <c r="B939" s="1"/>
      <c r="C939" s="1"/>
      <c r="D939" s="1"/>
      <c r="E939" s="1"/>
      <c r="F939" s="1"/>
      <c r="G939" s="1"/>
      <c r="H939" s="1"/>
      <c r="I939" s="1"/>
      <c r="J939" s="1"/>
      <c r="K939" s="1"/>
      <c r="L939" s="1"/>
      <c r="M939" s="1"/>
      <c r="N939" s="1"/>
      <c r="O939" s="1"/>
    </row>
    <row r="940" spans="2:15" x14ac:dyDescent="0.25">
      <c r="B940" s="1"/>
      <c r="C940" s="1"/>
      <c r="D940" s="1"/>
      <c r="E940" s="1"/>
      <c r="F940" s="1"/>
      <c r="G940" s="1"/>
      <c r="H940" s="1"/>
      <c r="I940" s="1"/>
      <c r="J940" s="1"/>
      <c r="K940" s="1"/>
      <c r="L940" s="1"/>
      <c r="M940" s="1"/>
      <c r="N940" s="1"/>
      <c r="O940" s="1"/>
    </row>
    <row r="941" spans="2:15" x14ac:dyDescent="0.25">
      <c r="B941" s="1"/>
      <c r="C941" s="1"/>
      <c r="D941" s="1"/>
      <c r="E941" s="1"/>
      <c r="F941" s="1"/>
      <c r="G941" s="1"/>
      <c r="H941" s="1"/>
      <c r="I941" s="1"/>
      <c r="J941" s="1"/>
      <c r="K941" s="1"/>
      <c r="L941" s="1"/>
      <c r="M941" s="1"/>
      <c r="N941" s="1"/>
      <c r="O941" s="1"/>
    </row>
    <row r="942" spans="2:15" x14ac:dyDescent="0.25">
      <c r="B942" s="1"/>
      <c r="C942" s="1"/>
      <c r="D942" s="1"/>
      <c r="E942" s="1"/>
      <c r="F942" s="1"/>
      <c r="G942" s="1"/>
      <c r="H942" s="1"/>
      <c r="I942" s="1"/>
      <c r="J942" s="1"/>
      <c r="K942" s="1"/>
      <c r="L942" s="1"/>
      <c r="M942" s="1"/>
      <c r="N942" s="1"/>
      <c r="O942" s="1"/>
    </row>
    <row r="943" spans="2:15" x14ac:dyDescent="0.25">
      <c r="B943" s="1"/>
      <c r="C943" s="1"/>
      <c r="D943" s="1"/>
      <c r="E943" s="1"/>
      <c r="F943" s="1"/>
      <c r="G943" s="1"/>
      <c r="H943" s="1"/>
      <c r="I943" s="1"/>
      <c r="J943" s="1"/>
      <c r="K943" s="1"/>
      <c r="L943" s="1"/>
      <c r="M943" s="1"/>
      <c r="N943" s="1"/>
      <c r="O943" s="1"/>
    </row>
    <row r="944" spans="2:15" x14ac:dyDescent="0.25">
      <c r="B944" s="1"/>
      <c r="C944" s="1"/>
      <c r="D944" s="1"/>
      <c r="E944" s="1"/>
      <c r="F944" s="1"/>
      <c r="G944" s="1"/>
      <c r="H944" s="1"/>
      <c r="I944" s="1"/>
      <c r="J944" s="1"/>
      <c r="K944" s="1"/>
      <c r="L944" s="1"/>
      <c r="M944" s="1"/>
      <c r="N944" s="1"/>
      <c r="O944" s="1"/>
    </row>
    <row r="945" spans="2:15" x14ac:dyDescent="0.25">
      <c r="B945" s="1"/>
      <c r="C945" s="1"/>
      <c r="D945" s="1"/>
      <c r="E945" s="1"/>
      <c r="F945" s="1"/>
      <c r="G945" s="1"/>
      <c r="H945" s="1"/>
      <c r="I945" s="1"/>
      <c r="J945" s="1"/>
      <c r="K945" s="1"/>
      <c r="L945" s="1"/>
      <c r="M945" s="1"/>
      <c r="N945" s="1"/>
      <c r="O945" s="1"/>
    </row>
    <row r="946" spans="2:15" x14ac:dyDescent="0.25">
      <c r="B946" s="1"/>
      <c r="C946" s="1"/>
      <c r="D946" s="1"/>
      <c r="E946" s="1"/>
      <c r="F946" s="1"/>
      <c r="G946" s="1"/>
      <c r="H946" s="1"/>
      <c r="I946" s="1"/>
      <c r="J946" s="1"/>
      <c r="K946" s="1"/>
      <c r="L946" s="1"/>
      <c r="M946" s="1"/>
      <c r="N946" s="1"/>
      <c r="O946" s="1"/>
    </row>
    <row r="947" spans="2:15" x14ac:dyDescent="0.25">
      <c r="B947" s="1"/>
      <c r="C947" s="1"/>
      <c r="D947" s="1"/>
      <c r="E947" s="1"/>
      <c r="F947" s="1"/>
      <c r="G947" s="1"/>
      <c r="H947" s="1"/>
      <c r="I947" s="1"/>
      <c r="J947" s="1"/>
      <c r="K947" s="1"/>
      <c r="L947" s="1"/>
      <c r="M947" s="1"/>
      <c r="N947" s="1"/>
      <c r="O947" s="1"/>
    </row>
    <row r="948" spans="2:15" x14ac:dyDescent="0.25">
      <c r="B948" s="1"/>
      <c r="C948" s="1"/>
      <c r="D948" s="1"/>
      <c r="E948" s="1"/>
      <c r="F948" s="1"/>
      <c r="G948" s="1"/>
      <c r="H948" s="1"/>
      <c r="I948" s="1"/>
      <c r="J948" s="1"/>
      <c r="K948" s="1"/>
      <c r="L948" s="1"/>
      <c r="M948" s="1"/>
      <c r="N948" s="1"/>
      <c r="O948" s="1"/>
    </row>
    <row r="949" spans="2:15" x14ac:dyDescent="0.25">
      <c r="B949" s="1"/>
      <c r="C949" s="1"/>
      <c r="D949" s="1"/>
      <c r="E949" s="1"/>
      <c r="F949" s="1"/>
      <c r="G949" s="1"/>
      <c r="H949" s="1"/>
      <c r="I949" s="1"/>
      <c r="J949" s="1"/>
      <c r="K949" s="1"/>
      <c r="L949" s="1"/>
      <c r="M949" s="1"/>
      <c r="N949" s="1"/>
      <c r="O949" s="1"/>
    </row>
    <row r="950" spans="2:15" x14ac:dyDescent="0.25">
      <c r="B950" s="1"/>
      <c r="C950" s="1"/>
      <c r="D950" s="1"/>
      <c r="E950" s="1"/>
      <c r="F950" s="1"/>
      <c r="G950" s="1"/>
      <c r="H950" s="1"/>
      <c r="I950" s="1"/>
      <c r="J950" s="1"/>
      <c r="K950" s="1"/>
      <c r="L950" s="1"/>
      <c r="M950" s="1"/>
      <c r="N950" s="1"/>
      <c r="O950" s="1"/>
    </row>
    <row r="951" spans="2:15" x14ac:dyDescent="0.25">
      <c r="B951" s="1"/>
      <c r="C951" s="1"/>
      <c r="D951" s="1"/>
      <c r="E951" s="1"/>
      <c r="F951" s="1"/>
      <c r="G951" s="1"/>
      <c r="H951" s="1"/>
      <c r="I951" s="1"/>
      <c r="J951" s="1"/>
      <c r="K951" s="1"/>
      <c r="L951" s="1"/>
      <c r="M951" s="1"/>
      <c r="N951" s="1"/>
      <c r="O951" s="1"/>
    </row>
    <row r="952" spans="2:15" x14ac:dyDescent="0.25">
      <c r="B952" s="1"/>
      <c r="C952" s="1"/>
      <c r="D952" s="1"/>
      <c r="E952" s="1"/>
      <c r="F952" s="1"/>
      <c r="G952" s="1"/>
      <c r="H952" s="1"/>
      <c r="I952" s="1"/>
      <c r="J952" s="1"/>
      <c r="K952" s="1"/>
      <c r="L952" s="1"/>
      <c r="M952" s="1"/>
      <c r="N952" s="1"/>
      <c r="O952" s="1"/>
    </row>
    <row r="953" spans="2:15" x14ac:dyDescent="0.25">
      <c r="B953" s="1"/>
      <c r="C953" s="1"/>
      <c r="D953" s="1"/>
      <c r="E953" s="1"/>
      <c r="F953" s="1"/>
      <c r="G953" s="1"/>
      <c r="H953" s="1"/>
      <c r="I953" s="1"/>
      <c r="J953" s="1"/>
      <c r="K953" s="1"/>
      <c r="L953" s="1"/>
      <c r="M953" s="1"/>
      <c r="N953" s="1"/>
      <c r="O953" s="1"/>
    </row>
    <row r="954" spans="2:15" x14ac:dyDescent="0.25">
      <c r="B954" s="1"/>
      <c r="C954" s="1"/>
      <c r="D954" s="1"/>
      <c r="E954" s="1"/>
      <c r="F954" s="1"/>
      <c r="G954" s="1"/>
      <c r="H954" s="1"/>
      <c r="I954" s="1"/>
      <c r="J954" s="1"/>
      <c r="K954" s="1"/>
      <c r="L954" s="1"/>
      <c r="M954" s="1"/>
      <c r="N954" s="1"/>
      <c r="O954" s="1"/>
    </row>
    <row r="955" spans="2:15" x14ac:dyDescent="0.25">
      <c r="B955" s="1"/>
      <c r="C955" s="1"/>
      <c r="D955" s="1"/>
      <c r="E955" s="1"/>
      <c r="F955" s="1"/>
      <c r="G955" s="1"/>
      <c r="H955" s="1"/>
      <c r="I955" s="1"/>
      <c r="J955" s="1"/>
      <c r="K955" s="1"/>
      <c r="L955" s="1"/>
      <c r="M955" s="1"/>
      <c r="N955" s="1"/>
      <c r="O955" s="1"/>
    </row>
    <row r="956" spans="2:15" x14ac:dyDescent="0.25">
      <c r="B956" s="1"/>
      <c r="C956" s="1"/>
      <c r="D956" s="1"/>
      <c r="E956" s="1"/>
      <c r="F956" s="1"/>
      <c r="G956" s="1"/>
      <c r="H956" s="1"/>
      <c r="I956" s="1"/>
      <c r="J956" s="1"/>
      <c r="K956" s="1"/>
      <c r="L956" s="1"/>
      <c r="M956" s="1"/>
      <c r="N956" s="1"/>
      <c r="O956" s="1"/>
    </row>
    <row r="957" spans="2:15" x14ac:dyDescent="0.25">
      <c r="B957" s="1"/>
      <c r="C957" s="1"/>
      <c r="D957" s="1"/>
      <c r="E957" s="1"/>
      <c r="F957" s="1"/>
      <c r="G957" s="1"/>
      <c r="H957" s="1"/>
      <c r="I957" s="1"/>
      <c r="J957" s="1"/>
      <c r="K957" s="1"/>
      <c r="L957" s="1"/>
      <c r="M957" s="1"/>
      <c r="N957" s="1"/>
      <c r="O957" s="1"/>
    </row>
    <row r="958" spans="2:15" x14ac:dyDescent="0.25">
      <c r="B958" s="1"/>
      <c r="C958" s="1"/>
      <c r="D958" s="1"/>
      <c r="E958" s="1"/>
      <c r="F958" s="1"/>
      <c r="G958" s="1"/>
      <c r="H958" s="1"/>
      <c r="I958" s="1"/>
      <c r="J958" s="1"/>
      <c r="K958" s="1"/>
      <c r="L958" s="1"/>
      <c r="M958" s="1"/>
      <c r="N958" s="1"/>
      <c r="O958" s="1"/>
    </row>
    <row r="959" spans="2:15" x14ac:dyDescent="0.25">
      <c r="B959" s="1"/>
      <c r="C959" s="1"/>
      <c r="D959" s="1"/>
      <c r="E959" s="1"/>
      <c r="F959" s="1"/>
      <c r="G959" s="1"/>
      <c r="H959" s="1"/>
      <c r="I959" s="1"/>
      <c r="J959" s="1"/>
      <c r="K959" s="1"/>
      <c r="L959" s="1"/>
      <c r="M959" s="1"/>
      <c r="N959" s="1"/>
      <c r="O959" s="1"/>
    </row>
    <row r="960" spans="2:15" x14ac:dyDescent="0.25">
      <c r="B960" s="1"/>
      <c r="C960" s="1"/>
      <c r="D960" s="1"/>
      <c r="E960" s="1"/>
      <c r="F960" s="1"/>
      <c r="G960" s="1"/>
      <c r="H960" s="1"/>
      <c r="I960" s="1"/>
      <c r="J960" s="1"/>
      <c r="K960" s="1"/>
      <c r="L960" s="1"/>
      <c r="M960" s="1"/>
      <c r="N960" s="1"/>
      <c r="O960" s="1"/>
    </row>
    <row r="961" spans="2:15" x14ac:dyDescent="0.25">
      <c r="B961" s="1"/>
      <c r="C961" s="1"/>
      <c r="D961" s="1"/>
      <c r="E961" s="1"/>
      <c r="F961" s="1"/>
      <c r="G961" s="1"/>
      <c r="H961" s="1"/>
      <c r="I961" s="1"/>
      <c r="J961" s="1"/>
      <c r="K961" s="1"/>
      <c r="L961" s="1"/>
      <c r="M961" s="1"/>
      <c r="N961" s="1"/>
      <c r="O961" s="1"/>
    </row>
    <row r="962" spans="2:15" x14ac:dyDescent="0.25">
      <c r="B962" s="1"/>
      <c r="C962" s="1"/>
      <c r="D962" s="1"/>
      <c r="E962" s="1"/>
      <c r="F962" s="1"/>
      <c r="G962" s="1"/>
      <c r="H962" s="1"/>
      <c r="I962" s="1"/>
      <c r="J962" s="1"/>
      <c r="K962" s="1"/>
      <c r="L962" s="1"/>
      <c r="M962" s="1"/>
      <c r="N962" s="1"/>
      <c r="O962" s="1"/>
    </row>
    <row r="963" spans="2:15" x14ac:dyDescent="0.25">
      <c r="B963" s="1"/>
      <c r="C963" s="1"/>
      <c r="D963" s="1"/>
      <c r="E963" s="1"/>
      <c r="F963" s="1"/>
      <c r="G963" s="1"/>
      <c r="H963" s="1"/>
      <c r="I963" s="1"/>
      <c r="J963" s="1"/>
      <c r="K963" s="1"/>
      <c r="L963" s="1"/>
      <c r="M963" s="1"/>
      <c r="N963" s="1"/>
      <c r="O963" s="1"/>
    </row>
    <row r="964" spans="2:15" x14ac:dyDescent="0.25">
      <c r="B964" s="1"/>
      <c r="C964" s="1"/>
      <c r="D964" s="1"/>
      <c r="E964" s="1"/>
      <c r="F964" s="1"/>
      <c r="G964" s="1"/>
      <c r="H964" s="1"/>
      <c r="I964" s="1"/>
      <c r="J964" s="1"/>
      <c r="K964" s="1"/>
      <c r="L964" s="1"/>
      <c r="M964" s="1"/>
      <c r="N964" s="1"/>
      <c r="O964" s="1"/>
    </row>
    <row r="965" spans="2:15" x14ac:dyDescent="0.25">
      <c r="B965" s="1"/>
      <c r="C965" s="1"/>
      <c r="D965" s="1"/>
      <c r="E965" s="1"/>
      <c r="F965" s="1"/>
      <c r="G965" s="1"/>
      <c r="H965" s="1"/>
      <c r="I965" s="1"/>
      <c r="J965" s="1"/>
      <c r="K965" s="1"/>
      <c r="L965" s="1"/>
      <c r="M965" s="1"/>
      <c r="N965" s="1"/>
      <c r="O965" s="1"/>
    </row>
    <row r="966" spans="2:15" x14ac:dyDescent="0.25">
      <c r="B966" s="1"/>
      <c r="C966" s="1"/>
      <c r="D966" s="1"/>
      <c r="E966" s="1"/>
      <c r="F966" s="1"/>
      <c r="G966" s="1"/>
      <c r="H966" s="1"/>
      <c r="I966" s="1"/>
      <c r="J966" s="1"/>
      <c r="K966" s="1"/>
      <c r="L966" s="1"/>
      <c r="M966" s="1"/>
      <c r="N966" s="1"/>
      <c r="O966" s="1"/>
    </row>
    <row r="967" spans="2:15" x14ac:dyDescent="0.25">
      <c r="B967" s="1"/>
      <c r="C967" s="1"/>
      <c r="D967" s="1"/>
      <c r="E967" s="1"/>
      <c r="F967" s="1"/>
      <c r="G967" s="1"/>
      <c r="H967" s="1"/>
      <c r="I967" s="1"/>
      <c r="J967" s="1"/>
      <c r="K967" s="1"/>
      <c r="L967" s="1"/>
      <c r="M967" s="1"/>
      <c r="N967" s="1"/>
      <c r="O967" s="1"/>
    </row>
    <row r="968" spans="2:15" x14ac:dyDescent="0.25">
      <c r="B968" s="1"/>
      <c r="C968" s="1"/>
      <c r="D968" s="1"/>
      <c r="E968" s="1"/>
      <c r="F968" s="1"/>
      <c r="G968" s="1"/>
      <c r="H968" s="1"/>
      <c r="I968" s="1"/>
      <c r="J968" s="1"/>
      <c r="K968" s="1"/>
      <c r="L968" s="1"/>
      <c r="M968" s="1"/>
      <c r="N968" s="1"/>
      <c r="O968" s="1"/>
    </row>
    <row r="969" spans="2:15" x14ac:dyDescent="0.25">
      <c r="B969" s="1"/>
      <c r="C969" s="1"/>
      <c r="D969" s="1"/>
      <c r="E969" s="1"/>
      <c r="F969" s="1"/>
      <c r="G969" s="1"/>
      <c r="H969" s="1"/>
      <c r="I969" s="1"/>
      <c r="J969" s="1"/>
      <c r="K969" s="1"/>
      <c r="L969" s="1"/>
      <c r="M969" s="1"/>
      <c r="N969" s="1"/>
      <c r="O969" s="1"/>
    </row>
    <row r="970" spans="2:15" x14ac:dyDescent="0.25">
      <c r="B970" s="1"/>
      <c r="C970" s="1"/>
      <c r="D970" s="1"/>
      <c r="E970" s="1"/>
      <c r="F970" s="1"/>
      <c r="G970" s="1"/>
      <c r="H970" s="1"/>
      <c r="I970" s="1"/>
      <c r="J970" s="1"/>
      <c r="K970" s="1"/>
      <c r="L970" s="1"/>
      <c r="M970" s="1"/>
      <c r="N970" s="1"/>
      <c r="O970" s="1"/>
    </row>
    <row r="971" spans="2:15" x14ac:dyDescent="0.25">
      <c r="B971" s="1"/>
      <c r="C971" s="1"/>
      <c r="D971" s="1"/>
      <c r="E971" s="1"/>
      <c r="F971" s="1"/>
      <c r="G971" s="1"/>
      <c r="H971" s="1"/>
      <c r="I971" s="1"/>
      <c r="J971" s="1"/>
      <c r="K971" s="1"/>
      <c r="L971" s="1"/>
      <c r="M971" s="1"/>
      <c r="N971" s="1"/>
      <c r="O971" s="1"/>
    </row>
    <row r="972" spans="2:15" x14ac:dyDescent="0.25">
      <c r="B972" s="1"/>
      <c r="C972" s="1"/>
      <c r="D972" s="1"/>
      <c r="E972" s="1"/>
      <c r="F972" s="1"/>
      <c r="G972" s="1"/>
      <c r="H972" s="1"/>
      <c r="I972" s="1"/>
      <c r="J972" s="1"/>
      <c r="K972" s="1"/>
      <c r="L972" s="1"/>
      <c r="M972" s="1"/>
      <c r="N972" s="1"/>
      <c r="O972" s="1"/>
    </row>
    <row r="973" spans="2:15" x14ac:dyDescent="0.25">
      <c r="B973" s="1"/>
      <c r="C973" s="1"/>
      <c r="D973" s="1"/>
      <c r="E973" s="1"/>
      <c r="F973" s="1"/>
      <c r="G973" s="1"/>
      <c r="H973" s="1"/>
      <c r="I973" s="1"/>
      <c r="J973" s="1"/>
      <c r="K973" s="1"/>
      <c r="L973" s="1"/>
      <c r="M973" s="1"/>
      <c r="N973" s="1"/>
      <c r="O973" s="1"/>
    </row>
    <row r="974" spans="2:15" x14ac:dyDescent="0.25">
      <c r="B974" s="1"/>
      <c r="C974" s="1"/>
      <c r="D974" s="1"/>
      <c r="E974" s="1"/>
      <c r="F974" s="1"/>
      <c r="G974" s="1"/>
      <c r="H974" s="1"/>
      <c r="I974" s="1"/>
      <c r="J974" s="1"/>
      <c r="K974" s="1"/>
      <c r="L974" s="1"/>
      <c r="M974" s="1"/>
      <c r="N974" s="1"/>
      <c r="O974" s="1"/>
    </row>
    <row r="975" spans="2:15" x14ac:dyDescent="0.25">
      <c r="B975" s="1"/>
      <c r="C975" s="1"/>
      <c r="D975" s="1"/>
      <c r="E975" s="1"/>
      <c r="F975" s="1"/>
      <c r="G975" s="1"/>
      <c r="H975" s="1"/>
      <c r="I975" s="1"/>
      <c r="J975" s="1"/>
      <c r="K975" s="1"/>
      <c r="L975" s="1"/>
      <c r="M975" s="1"/>
      <c r="N975" s="1"/>
      <c r="O975" s="1"/>
    </row>
    <row r="976" spans="2:15" x14ac:dyDescent="0.25">
      <c r="B976" s="1"/>
      <c r="C976" s="1"/>
      <c r="D976" s="1"/>
      <c r="E976" s="1"/>
      <c r="F976" s="1"/>
      <c r="G976" s="1"/>
      <c r="H976" s="1"/>
      <c r="I976" s="1"/>
      <c r="J976" s="1"/>
      <c r="K976" s="1"/>
      <c r="L976" s="1"/>
      <c r="M976" s="1"/>
      <c r="N976" s="1"/>
      <c r="O976" s="1"/>
    </row>
    <row r="977" spans="2:15" x14ac:dyDescent="0.25">
      <c r="B977" s="1"/>
      <c r="C977" s="1"/>
      <c r="D977" s="1"/>
      <c r="E977" s="1"/>
      <c r="F977" s="1"/>
      <c r="G977" s="1"/>
      <c r="H977" s="1"/>
      <c r="I977" s="1"/>
      <c r="J977" s="1"/>
      <c r="K977" s="1"/>
      <c r="L977" s="1"/>
      <c r="M977" s="1"/>
      <c r="N977" s="1"/>
      <c r="O977" s="1"/>
    </row>
    <row r="978" spans="2:15" x14ac:dyDescent="0.25">
      <c r="B978" s="1"/>
      <c r="C978" s="1"/>
      <c r="D978" s="1"/>
      <c r="E978" s="1"/>
      <c r="F978" s="1"/>
      <c r="G978" s="1"/>
      <c r="H978" s="1"/>
      <c r="I978" s="1"/>
      <c r="J978" s="1"/>
      <c r="K978" s="1"/>
      <c r="L978" s="1"/>
      <c r="M978" s="1"/>
      <c r="N978" s="1"/>
      <c r="O978" s="1"/>
    </row>
    <row r="979" spans="2:15" x14ac:dyDescent="0.25">
      <c r="B979" s="1"/>
      <c r="C979" s="1"/>
      <c r="D979" s="1"/>
      <c r="E979" s="1"/>
      <c r="F979" s="1"/>
      <c r="G979" s="1"/>
      <c r="H979" s="1"/>
      <c r="I979" s="1"/>
      <c r="J979" s="1"/>
      <c r="K979" s="1"/>
      <c r="L979" s="1"/>
      <c r="M979" s="1"/>
      <c r="N979" s="1"/>
      <c r="O979" s="1"/>
    </row>
    <row r="980" spans="2:15" x14ac:dyDescent="0.25">
      <c r="B980" s="1"/>
      <c r="C980" s="1"/>
      <c r="D980" s="1"/>
      <c r="E980" s="1"/>
      <c r="F980" s="1"/>
      <c r="G980" s="1"/>
      <c r="H980" s="1"/>
      <c r="I980" s="1"/>
      <c r="J980" s="1"/>
      <c r="K980" s="1"/>
      <c r="L980" s="1"/>
      <c r="M980" s="1"/>
      <c r="N980" s="1"/>
      <c r="O980" s="1"/>
    </row>
    <row r="981" spans="2:15" x14ac:dyDescent="0.25">
      <c r="B981" s="1"/>
      <c r="C981" s="1"/>
      <c r="D981" s="1"/>
      <c r="E981" s="1"/>
      <c r="F981" s="1"/>
      <c r="G981" s="1"/>
      <c r="H981" s="1"/>
      <c r="I981" s="1"/>
      <c r="J981" s="1"/>
      <c r="K981" s="1"/>
      <c r="L981" s="1"/>
      <c r="M981" s="1"/>
      <c r="N981" s="1"/>
      <c r="O981" s="1"/>
    </row>
    <row r="982" spans="2:15" x14ac:dyDescent="0.25">
      <c r="B982" s="1"/>
      <c r="C982" s="1"/>
      <c r="D982" s="1"/>
      <c r="E982" s="1"/>
      <c r="F982" s="1"/>
      <c r="G982" s="1"/>
      <c r="H982" s="1"/>
      <c r="I982" s="1"/>
      <c r="J982" s="1"/>
      <c r="K982" s="1"/>
      <c r="L982" s="1"/>
      <c r="M982" s="1"/>
      <c r="N982" s="1"/>
      <c r="O982" s="1"/>
    </row>
    <row r="983" spans="2:15" x14ac:dyDescent="0.25">
      <c r="B983" s="1"/>
      <c r="C983" s="1"/>
      <c r="D983" s="1"/>
      <c r="E983" s="1"/>
      <c r="F983" s="1"/>
      <c r="G983" s="1"/>
      <c r="H983" s="1"/>
      <c r="I983" s="1"/>
      <c r="J983" s="1"/>
      <c r="K983" s="1"/>
      <c r="L983" s="1"/>
      <c r="M983" s="1"/>
      <c r="N983" s="1"/>
      <c r="O983" s="1"/>
    </row>
    <row r="984" spans="2:15" x14ac:dyDescent="0.25">
      <c r="B984" s="1"/>
      <c r="C984" s="1"/>
      <c r="D984" s="1"/>
      <c r="E984" s="1"/>
      <c r="F984" s="1"/>
      <c r="G984" s="1"/>
      <c r="H984" s="1"/>
      <c r="I984" s="1"/>
      <c r="J984" s="1"/>
      <c r="K984" s="1"/>
      <c r="L984" s="1"/>
      <c r="M984" s="1"/>
      <c r="N984" s="1"/>
      <c r="O984" s="1"/>
    </row>
    <row r="985" spans="2:15" x14ac:dyDescent="0.25">
      <c r="B985" s="1"/>
      <c r="C985" s="1"/>
      <c r="D985" s="1"/>
      <c r="E985" s="1"/>
      <c r="F985" s="1"/>
      <c r="G985" s="1"/>
      <c r="H985" s="1"/>
      <c r="I985" s="1"/>
      <c r="J985" s="1"/>
      <c r="K985" s="1"/>
      <c r="L985" s="1"/>
      <c r="M985" s="1"/>
      <c r="N985" s="1"/>
      <c r="O985" s="1"/>
    </row>
    <row r="986" spans="2:15" x14ac:dyDescent="0.25">
      <c r="B986" s="1"/>
      <c r="C986" s="1"/>
      <c r="D986" s="1"/>
      <c r="E986" s="1"/>
      <c r="F986" s="1"/>
      <c r="G986" s="1"/>
      <c r="H986" s="1"/>
      <c r="I986" s="1"/>
      <c r="J986" s="1"/>
      <c r="K986" s="1"/>
      <c r="L986" s="1"/>
      <c r="M986" s="1"/>
      <c r="N986" s="1"/>
      <c r="O986" s="1"/>
    </row>
    <row r="987" spans="2:15" x14ac:dyDescent="0.25">
      <c r="B987" s="1"/>
      <c r="C987" s="1"/>
      <c r="D987" s="1"/>
      <c r="E987" s="1"/>
      <c r="F987" s="1"/>
      <c r="G987" s="1"/>
      <c r="H987" s="1"/>
      <c r="I987" s="1"/>
      <c r="J987" s="1"/>
      <c r="K987" s="1"/>
      <c r="L987" s="1"/>
      <c r="M987" s="1"/>
      <c r="N987" s="1"/>
      <c r="O987" s="1"/>
    </row>
    <row r="988" spans="2:15" x14ac:dyDescent="0.25">
      <c r="B988" s="1"/>
      <c r="C988" s="1"/>
      <c r="D988" s="1"/>
      <c r="E988" s="1"/>
      <c r="F988" s="1"/>
      <c r="G988" s="1"/>
      <c r="H988" s="1"/>
      <c r="I988" s="1"/>
      <c r="J988" s="1"/>
      <c r="K988" s="1"/>
      <c r="L988" s="1"/>
      <c r="M988" s="1"/>
      <c r="N988" s="1"/>
      <c r="O988" s="1"/>
    </row>
    <row r="989" spans="2:15" x14ac:dyDescent="0.25">
      <c r="B989" s="1"/>
      <c r="C989" s="1"/>
      <c r="D989" s="1"/>
      <c r="E989" s="1"/>
      <c r="F989" s="1"/>
      <c r="G989" s="1"/>
      <c r="H989" s="1"/>
      <c r="I989" s="1"/>
      <c r="J989" s="1"/>
      <c r="K989" s="1"/>
      <c r="L989" s="1"/>
      <c r="M989" s="1"/>
      <c r="N989" s="1"/>
      <c r="O989" s="1"/>
    </row>
    <row r="990" spans="2:15" x14ac:dyDescent="0.25">
      <c r="B990" s="1"/>
      <c r="C990" s="1"/>
      <c r="D990" s="1"/>
      <c r="E990" s="1"/>
      <c r="F990" s="1"/>
      <c r="G990" s="1"/>
      <c r="H990" s="1"/>
      <c r="I990" s="1"/>
      <c r="J990" s="1"/>
      <c r="K990" s="1"/>
      <c r="L990" s="1"/>
      <c r="M990" s="1"/>
      <c r="N990" s="1"/>
      <c r="O990" s="1"/>
    </row>
    <row r="991" spans="2:15" x14ac:dyDescent="0.25">
      <c r="B991" s="1"/>
      <c r="C991" s="1"/>
      <c r="D991" s="1"/>
      <c r="E991" s="1"/>
      <c r="F991" s="1"/>
      <c r="G991" s="1"/>
      <c r="H991" s="1"/>
      <c r="I991" s="1"/>
      <c r="J991" s="1"/>
      <c r="K991" s="1"/>
      <c r="L991" s="1"/>
      <c r="M991" s="1"/>
      <c r="N991" s="1"/>
      <c r="O991" s="1"/>
    </row>
    <row r="992" spans="2:15" x14ac:dyDescent="0.25">
      <c r="B992" s="1"/>
      <c r="C992" s="1"/>
      <c r="D992" s="1"/>
      <c r="E992" s="1"/>
      <c r="F992" s="1"/>
      <c r="G992" s="1"/>
      <c r="H992" s="1"/>
      <c r="I992" s="1"/>
      <c r="J992" s="1"/>
      <c r="K992" s="1"/>
      <c r="L992" s="1"/>
      <c r="M992" s="1"/>
      <c r="N992" s="1"/>
      <c r="O992" s="1"/>
    </row>
    <row r="993" spans="2:15" x14ac:dyDescent="0.25">
      <c r="B993" s="1"/>
      <c r="C993" s="1"/>
      <c r="D993" s="1"/>
      <c r="E993" s="1"/>
      <c r="F993" s="1"/>
      <c r="G993" s="1"/>
      <c r="H993" s="1"/>
      <c r="I993" s="1"/>
      <c r="J993" s="1"/>
      <c r="K993" s="1"/>
      <c r="L993" s="1"/>
      <c r="M993" s="1"/>
      <c r="N993" s="1"/>
      <c r="O993" s="1"/>
    </row>
    <row r="994" spans="2:15" x14ac:dyDescent="0.25">
      <c r="B994" s="1"/>
      <c r="C994" s="1"/>
      <c r="D994" s="1"/>
      <c r="E994" s="1"/>
      <c r="F994" s="1"/>
      <c r="G994" s="1"/>
      <c r="H994" s="1"/>
      <c r="I994" s="1"/>
      <c r="J994" s="1"/>
      <c r="K994" s="1"/>
      <c r="L994" s="1"/>
      <c r="M994" s="1"/>
      <c r="N994" s="1"/>
      <c r="O994" s="1"/>
    </row>
    <row r="995" spans="2:15" x14ac:dyDescent="0.25">
      <c r="B995" s="1"/>
      <c r="C995" s="1"/>
      <c r="D995" s="1"/>
      <c r="E995" s="1"/>
      <c r="F995" s="1"/>
      <c r="G995" s="1"/>
      <c r="H995" s="1"/>
      <c r="I995" s="1"/>
      <c r="J995" s="1"/>
      <c r="K995" s="1"/>
      <c r="L995" s="1"/>
      <c r="M995" s="1"/>
      <c r="N995" s="1"/>
      <c r="O995" s="1"/>
    </row>
    <row r="996" spans="2:15" x14ac:dyDescent="0.25">
      <c r="B996" s="1"/>
      <c r="C996" s="1"/>
      <c r="D996" s="1"/>
      <c r="E996" s="1"/>
      <c r="F996" s="1"/>
      <c r="G996" s="1"/>
      <c r="H996" s="1"/>
      <c r="I996" s="1"/>
      <c r="J996" s="1"/>
      <c r="K996" s="1"/>
      <c r="L996" s="1"/>
      <c r="M996" s="1"/>
      <c r="N996" s="1"/>
      <c r="O996" s="1"/>
    </row>
    <row r="997" spans="2:15" x14ac:dyDescent="0.25">
      <c r="B997" s="1"/>
      <c r="C997" s="1"/>
      <c r="D997" s="1"/>
      <c r="E997" s="1"/>
      <c r="F997" s="1"/>
      <c r="G997" s="1"/>
      <c r="H997" s="1"/>
      <c r="I997" s="1"/>
      <c r="J997" s="1"/>
      <c r="K997" s="1"/>
      <c r="L997" s="1"/>
      <c r="M997" s="1"/>
      <c r="N997" s="1"/>
      <c r="O997" s="1"/>
    </row>
    <row r="998" spans="2:15" x14ac:dyDescent="0.25">
      <c r="B998" s="1"/>
      <c r="C998" s="1"/>
      <c r="D998" s="1"/>
      <c r="E998" s="1"/>
      <c r="F998" s="1"/>
      <c r="G998" s="1"/>
      <c r="H998" s="1"/>
      <c r="I998" s="1"/>
      <c r="J998" s="1"/>
      <c r="K998" s="1"/>
      <c r="L998" s="1"/>
      <c r="M998" s="1"/>
      <c r="N998" s="1"/>
      <c r="O998" s="1"/>
    </row>
    <row r="999" spans="2:15" x14ac:dyDescent="0.25">
      <c r="B999" s="1"/>
      <c r="C999" s="1"/>
      <c r="D999" s="1"/>
      <c r="E999" s="1"/>
      <c r="F999" s="1"/>
      <c r="G999" s="1"/>
      <c r="H999" s="1"/>
      <c r="I999" s="1"/>
      <c r="J999" s="1"/>
      <c r="K999" s="1"/>
      <c r="L999" s="1"/>
      <c r="M999" s="1"/>
      <c r="N999" s="1"/>
      <c r="O999" s="1"/>
    </row>
    <row r="1000" spans="2:15" x14ac:dyDescent="0.25">
      <c r="B1000" s="1"/>
      <c r="C1000" s="1"/>
      <c r="D1000" s="1"/>
      <c r="E1000" s="1"/>
      <c r="F1000" s="1"/>
      <c r="G1000" s="1"/>
      <c r="H1000" s="1"/>
      <c r="I1000" s="1"/>
      <c r="J1000" s="1"/>
      <c r="K1000" s="1"/>
      <c r="L1000" s="1"/>
      <c r="M1000" s="1"/>
      <c r="N1000" s="1"/>
      <c r="O1000" s="1"/>
    </row>
    <row r="1001" spans="2:15" x14ac:dyDescent="0.25">
      <c r="B1001" s="1"/>
      <c r="C1001" s="1"/>
      <c r="D1001" s="1"/>
      <c r="E1001" s="1"/>
      <c r="F1001" s="1"/>
      <c r="G1001" s="1"/>
      <c r="H1001" s="1"/>
      <c r="I1001" s="1"/>
      <c r="J1001" s="1"/>
      <c r="K1001" s="1"/>
      <c r="L1001" s="1"/>
      <c r="M1001" s="1"/>
      <c r="N1001" s="1"/>
      <c r="O1001" s="1"/>
    </row>
    <row r="1002" spans="2:15" x14ac:dyDescent="0.25">
      <c r="B1002" s="1"/>
      <c r="C1002" s="1"/>
      <c r="D1002" s="1"/>
      <c r="E1002" s="1"/>
      <c r="F1002" s="1"/>
      <c r="G1002" s="1"/>
      <c r="H1002" s="1"/>
      <c r="I1002" s="1"/>
      <c r="J1002" s="1"/>
      <c r="K1002" s="1"/>
      <c r="L1002" s="1"/>
      <c r="M1002" s="1"/>
      <c r="N1002" s="1"/>
      <c r="O1002" s="1"/>
    </row>
    <row r="1003" spans="2:15" x14ac:dyDescent="0.25">
      <c r="B1003" s="1"/>
      <c r="C1003" s="1"/>
      <c r="D1003" s="1"/>
      <c r="E1003" s="1"/>
      <c r="F1003" s="1"/>
      <c r="G1003" s="1"/>
      <c r="H1003" s="1"/>
      <c r="I1003" s="1"/>
      <c r="J1003" s="1"/>
      <c r="K1003" s="1"/>
      <c r="L1003" s="1"/>
      <c r="M1003" s="1"/>
      <c r="N1003" s="1"/>
      <c r="O1003" s="1"/>
    </row>
    <row r="1004" spans="2:15" x14ac:dyDescent="0.25">
      <c r="B1004" s="1"/>
      <c r="C1004" s="1"/>
      <c r="D1004" s="1"/>
      <c r="E1004" s="1"/>
      <c r="F1004" s="1"/>
      <c r="G1004" s="1"/>
      <c r="H1004" s="1"/>
      <c r="I1004" s="1"/>
      <c r="J1004" s="1"/>
      <c r="K1004" s="1"/>
      <c r="L1004" s="1"/>
      <c r="M1004" s="1"/>
      <c r="N1004" s="1"/>
      <c r="O1004" s="1"/>
    </row>
    <row r="1005" spans="2:15" x14ac:dyDescent="0.25">
      <c r="B1005" s="1"/>
      <c r="C1005" s="1"/>
      <c r="D1005" s="1"/>
      <c r="E1005" s="1"/>
      <c r="F1005" s="1"/>
      <c r="G1005" s="1"/>
      <c r="H1005" s="1"/>
      <c r="I1005" s="1"/>
      <c r="J1005" s="1"/>
      <c r="K1005" s="1"/>
      <c r="L1005" s="1"/>
      <c r="M1005" s="1"/>
      <c r="N1005" s="1"/>
      <c r="O1005" s="1"/>
    </row>
    <row r="1006" spans="2:15" x14ac:dyDescent="0.25">
      <c r="B1006" s="1"/>
      <c r="C1006" s="1"/>
      <c r="D1006" s="1"/>
      <c r="E1006" s="1"/>
      <c r="F1006" s="1"/>
      <c r="G1006" s="1"/>
      <c r="H1006" s="1"/>
      <c r="I1006" s="1"/>
      <c r="J1006" s="1"/>
      <c r="K1006" s="1"/>
      <c r="L1006" s="1"/>
      <c r="M1006" s="1"/>
      <c r="N1006" s="1"/>
      <c r="O1006" s="1"/>
    </row>
    <row r="1007" spans="2:15" x14ac:dyDescent="0.25">
      <c r="B1007" s="1"/>
      <c r="C1007" s="1"/>
      <c r="D1007" s="1"/>
      <c r="E1007" s="1"/>
      <c r="F1007" s="1"/>
      <c r="G1007" s="1"/>
      <c r="H1007" s="1"/>
      <c r="I1007" s="1"/>
      <c r="J1007" s="1"/>
      <c r="K1007" s="1"/>
      <c r="L1007" s="1"/>
      <c r="M1007" s="1"/>
      <c r="N1007" s="1"/>
      <c r="O1007" s="1"/>
    </row>
    <row r="1008" spans="2:15" x14ac:dyDescent="0.25">
      <c r="B1008" s="1"/>
      <c r="C1008" s="1"/>
      <c r="D1008" s="1"/>
      <c r="E1008" s="1"/>
      <c r="F1008" s="1"/>
      <c r="G1008" s="1"/>
      <c r="H1008" s="1"/>
      <c r="I1008" s="1"/>
      <c r="J1008" s="1"/>
      <c r="K1008" s="1"/>
      <c r="L1008" s="1"/>
      <c r="M1008" s="1"/>
      <c r="N1008" s="1"/>
      <c r="O1008" s="1"/>
    </row>
    <row r="1009" spans="2:15" x14ac:dyDescent="0.25">
      <c r="B1009" s="1"/>
      <c r="C1009" s="1"/>
      <c r="D1009" s="1"/>
      <c r="E1009" s="1"/>
      <c r="F1009" s="1"/>
      <c r="G1009" s="1"/>
      <c r="H1009" s="1"/>
      <c r="I1009" s="1"/>
      <c r="J1009" s="1"/>
      <c r="K1009" s="1"/>
      <c r="L1009" s="1"/>
      <c r="M1009" s="1"/>
      <c r="N1009" s="1"/>
      <c r="O1009" s="1"/>
    </row>
    <row r="1010" spans="2:15" x14ac:dyDescent="0.25">
      <c r="B1010" s="1"/>
      <c r="C1010" s="1"/>
      <c r="D1010" s="1"/>
      <c r="E1010" s="1"/>
      <c r="F1010" s="1"/>
      <c r="G1010" s="1"/>
      <c r="H1010" s="1"/>
      <c r="I1010" s="1"/>
      <c r="J1010" s="1"/>
      <c r="K1010" s="1"/>
      <c r="L1010" s="1"/>
      <c r="M1010" s="1"/>
      <c r="N1010" s="1"/>
      <c r="O1010" s="1"/>
    </row>
    <row r="1011" spans="2:15" x14ac:dyDescent="0.25">
      <c r="B1011" s="1"/>
      <c r="C1011" s="1"/>
      <c r="D1011" s="1"/>
      <c r="E1011" s="1"/>
      <c r="F1011" s="1"/>
      <c r="G1011" s="1"/>
      <c r="H1011" s="1"/>
      <c r="I1011" s="1"/>
      <c r="J1011" s="1"/>
      <c r="K1011" s="1"/>
      <c r="L1011" s="1"/>
      <c r="M1011" s="1"/>
      <c r="N1011" s="1"/>
      <c r="O1011" s="1"/>
    </row>
    <row r="1012" spans="2:15" x14ac:dyDescent="0.25">
      <c r="B1012" s="1"/>
      <c r="C1012" s="1"/>
      <c r="D1012" s="1"/>
      <c r="E1012" s="1"/>
      <c r="F1012" s="1"/>
      <c r="G1012" s="1"/>
      <c r="H1012" s="1"/>
      <c r="I1012" s="1"/>
      <c r="J1012" s="1"/>
      <c r="K1012" s="1"/>
      <c r="L1012" s="1"/>
      <c r="M1012" s="1"/>
      <c r="N1012" s="1"/>
      <c r="O1012" s="1"/>
    </row>
    <row r="1013" spans="2:15" x14ac:dyDescent="0.25">
      <c r="B1013" s="1"/>
      <c r="C1013" s="1"/>
      <c r="D1013" s="1"/>
      <c r="E1013" s="1"/>
      <c r="F1013" s="1"/>
      <c r="G1013" s="1"/>
      <c r="H1013" s="1"/>
      <c r="I1013" s="1"/>
      <c r="J1013" s="1"/>
      <c r="K1013" s="1"/>
      <c r="L1013" s="1"/>
      <c r="M1013" s="1"/>
      <c r="N1013" s="1"/>
      <c r="O1013" s="1"/>
    </row>
    <row r="1014" spans="2:15" x14ac:dyDescent="0.25">
      <c r="B1014" s="1"/>
      <c r="C1014" s="1"/>
      <c r="D1014" s="1"/>
      <c r="E1014" s="1"/>
      <c r="F1014" s="1"/>
      <c r="G1014" s="1"/>
      <c r="H1014" s="1"/>
      <c r="I1014" s="1"/>
      <c r="J1014" s="1"/>
      <c r="K1014" s="1"/>
      <c r="L1014" s="1"/>
      <c r="M1014" s="1"/>
      <c r="N1014" s="1"/>
      <c r="O1014" s="1"/>
    </row>
    <row r="1015" spans="2:15" x14ac:dyDescent="0.25">
      <c r="B1015" s="1"/>
      <c r="C1015" s="1"/>
      <c r="D1015" s="1"/>
      <c r="E1015" s="1"/>
      <c r="F1015" s="1"/>
      <c r="G1015" s="1"/>
      <c r="H1015" s="1"/>
      <c r="I1015" s="1"/>
      <c r="J1015" s="1"/>
      <c r="K1015" s="1"/>
      <c r="L1015" s="1"/>
      <c r="M1015" s="1"/>
      <c r="N1015" s="1"/>
      <c r="O1015" s="1"/>
    </row>
    <row r="1016" spans="2:15" x14ac:dyDescent="0.25">
      <c r="B1016" s="1"/>
      <c r="C1016" s="1"/>
      <c r="D1016" s="1"/>
      <c r="E1016" s="1"/>
      <c r="F1016" s="1"/>
      <c r="G1016" s="1"/>
      <c r="H1016" s="1"/>
      <c r="I1016" s="1"/>
      <c r="J1016" s="1"/>
      <c r="K1016" s="1"/>
      <c r="L1016" s="1"/>
      <c r="M1016" s="1"/>
      <c r="N1016" s="1"/>
      <c r="O1016" s="1"/>
    </row>
    <row r="1017" spans="2:15" x14ac:dyDescent="0.25">
      <c r="B1017" s="1"/>
      <c r="C1017" s="1"/>
      <c r="D1017" s="1"/>
      <c r="E1017" s="1"/>
      <c r="F1017" s="1"/>
      <c r="G1017" s="1"/>
      <c r="H1017" s="1"/>
      <c r="I1017" s="1"/>
      <c r="J1017" s="1"/>
      <c r="K1017" s="1"/>
      <c r="L1017" s="1"/>
      <c r="M1017" s="1"/>
      <c r="N1017" s="1"/>
      <c r="O1017" s="1"/>
    </row>
    <row r="1018" spans="2:15" x14ac:dyDescent="0.25">
      <c r="B1018" s="1"/>
      <c r="C1018" s="1"/>
      <c r="D1018" s="1"/>
      <c r="E1018" s="1"/>
      <c r="F1018" s="1"/>
      <c r="G1018" s="1"/>
      <c r="H1018" s="1"/>
      <c r="I1018" s="1"/>
      <c r="J1018" s="1"/>
      <c r="K1018" s="1"/>
      <c r="L1018" s="1"/>
      <c r="M1018" s="1"/>
      <c r="N1018" s="1"/>
      <c r="O1018" s="1"/>
    </row>
    <row r="1019" spans="2:15" x14ac:dyDescent="0.25">
      <c r="B1019" s="1"/>
      <c r="C1019" s="1"/>
      <c r="D1019" s="1"/>
      <c r="E1019" s="1"/>
      <c r="F1019" s="1"/>
      <c r="G1019" s="1"/>
      <c r="H1019" s="1"/>
      <c r="I1019" s="1"/>
      <c r="J1019" s="1"/>
      <c r="K1019" s="1"/>
      <c r="L1019" s="1"/>
      <c r="M1019" s="1"/>
      <c r="N1019" s="1"/>
      <c r="O1019" s="1"/>
    </row>
    <row r="1020" spans="2:15" x14ac:dyDescent="0.25">
      <c r="B1020" s="1"/>
      <c r="C1020" s="1"/>
      <c r="D1020" s="1"/>
      <c r="E1020" s="1"/>
      <c r="F1020" s="1"/>
      <c r="G1020" s="1"/>
      <c r="H1020" s="1"/>
      <c r="I1020" s="1"/>
      <c r="J1020" s="1"/>
      <c r="K1020" s="1"/>
      <c r="L1020" s="1"/>
      <c r="M1020" s="1"/>
      <c r="N1020" s="1"/>
      <c r="O1020" s="1"/>
    </row>
    <row r="1021" spans="2:15" x14ac:dyDescent="0.25">
      <c r="B1021" s="1"/>
      <c r="C1021" s="1"/>
      <c r="D1021" s="1"/>
      <c r="E1021" s="1"/>
      <c r="F1021" s="1"/>
      <c r="G1021" s="1"/>
      <c r="H1021" s="1"/>
      <c r="I1021" s="1"/>
      <c r="J1021" s="1"/>
      <c r="K1021" s="1"/>
      <c r="L1021" s="1"/>
      <c r="M1021" s="1"/>
      <c r="N1021" s="1"/>
      <c r="O1021" s="1"/>
    </row>
    <row r="1022" spans="2:15" x14ac:dyDescent="0.25">
      <c r="B1022" s="1"/>
      <c r="C1022" s="1"/>
      <c r="D1022" s="1"/>
      <c r="E1022" s="1"/>
      <c r="F1022" s="1"/>
      <c r="G1022" s="1"/>
      <c r="H1022" s="1"/>
      <c r="I1022" s="1"/>
      <c r="J1022" s="1"/>
      <c r="K1022" s="1"/>
      <c r="L1022" s="1"/>
      <c r="M1022" s="1"/>
      <c r="N1022" s="1"/>
      <c r="O1022" s="1"/>
    </row>
    <row r="1023" spans="2:15" x14ac:dyDescent="0.25">
      <c r="B1023" s="1"/>
      <c r="C1023" s="1"/>
      <c r="D1023" s="1"/>
      <c r="E1023" s="1"/>
      <c r="F1023" s="1"/>
      <c r="G1023" s="1"/>
      <c r="H1023" s="1"/>
      <c r="I1023" s="1"/>
      <c r="J1023" s="1"/>
      <c r="K1023" s="1"/>
      <c r="L1023" s="1"/>
      <c r="M1023" s="1"/>
      <c r="N1023" s="1"/>
      <c r="O1023" s="1"/>
    </row>
    <row r="1024" spans="2:15" x14ac:dyDescent="0.25">
      <c r="B1024" s="1"/>
      <c r="C1024" s="1"/>
      <c r="D1024" s="1"/>
      <c r="E1024" s="1"/>
      <c r="F1024" s="1"/>
      <c r="G1024" s="1"/>
      <c r="H1024" s="1"/>
      <c r="I1024" s="1"/>
      <c r="J1024" s="1"/>
      <c r="K1024" s="1"/>
      <c r="L1024" s="1"/>
      <c r="M1024" s="1"/>
      <c r="N1024" s="1"/>
      <c r="O1024" s="1"/>
    </row>
    <row r="1025" spans="2:15" x14ac:dyDescent="0.25">
      <c r="B1025" s="1"/>
      <c r="C1025" s="1"/>
      <c r="D1025" s="1"/>
      <c r="E1025" s="1"/>
      <c r="F1025" s="1"/>
      <c r="G1025" s="1"/>
      <c r="H1025" s="1"/>
      <c r="I1025" s="1"/>
      <c r="J1025" s="1"/>
      <c r="K1025" s="1"/>
      <c r="L1025" s="1"/>
      <c r="M1025" s="1"/>
      <c r="N1025" s="1"/>
      <c r="O1025" s="1"/>
    </row>
    <row r="1026" spans="2:15" x14ac:dyDescent="0.25">
      <c r="B1026" s="1"/>
      <c r="C1026" s="1"/>
      <c r="D1026" s="1"/>
      <c r="E1026" s="1"/>
      <c r="F1026" s="1"/>
      <c r="G1026" s="1"/>
      <c r="H1026" s="1"/>
      <c r="I1026" s="1"/>
      <c r="J1026" s="1"/>
      <c r="K1026" s="1"/>
      <c r="L1026" s="1"/>
      <c r="M1026" s="1"/>
      <c r="N1026" s="1"/>
      <c r="O1026" s="1"/>
    </row>
    <row r="1027" spans="2:15" x14ac:dyDescent="0.25">
      <c r="B1027" s="1"/>
      <c r="C1027" s="1"/>
      <c r="D1027" s="1"/>
      <c r="E1027" s="1"/>
      <c r="F1027" s="1"/>
      <c r="G1027" s="1"/>
      <c r="H1027" s="1"/>
      <c r="I1027" s="1"/>
      <c r="J1027" s="1"/>
      <c r="K1027" s="1"/>
      <c r="L1027" s="1"/>
      <c r="M1027" s="1"/>
      <c r="N1027" s="1"/>
      <c r="O1027" s="1"/>
    </row>
    <row r="1028" spans="2:15" x14ac:dyDescent="0.25">
      <c r="B1028" s="1"/>
      <c r="C1028" s="1"/>
      <c r="D1028" s="1"/>
      <c r="E1028" s="1"/>
      <c r="F1028" s="1"/>
      <c r="G1028" s="1"/>
      <c r="H1028" s="1"/>
      <c r="I1028" s="1"/>
      <c r="J1028" s="1"/>
      <c r="K1028" s="1"/>
      <c r="L1028" s="1"/>
      <c r="M1028" s="1"/>
      <c r="N1028" s="1"/>
      <c r="O1028" s="1"/>
    </row>
    <row r="1029" spans="2:15" x14ac:dyDescent="0.25">
      <c r="B1029" s="1"/>
      <c r="C1029" s="1"/>
      <c r="D1029" s="1"/>
      <c r="E1029" s="1"/>
      <c r="F1029" s="1"/>
      <c r="G1029" s="1"/>
      <c r="H1029" s="1"/>
      <c r="I1029" s="1"/>
      <c r="J1029" s="1"/>
      <c r="K1029" s="1"/>
      <c r="L1029" s="1"/>
      <c r="M1029" s="1"/>
      <c r="N1029" s="1"/>
      <c r="O1029" s="1"/>
    </row>
    <row r="1030" spans="2:15" x14ac:dyDescent="0.25">
      <c r="B1030" s="1"/>
      <c r="C1030" s="1"/>
      <c r="D1030" s="1"/>
      <c r="E1030" s="1"/>
      <c r="F1030" s="1"/>
      <c r="G1030" s="1"/>
      <c r="H1030" s="1"/>
      <c r="I1030" s="1"/>
      <c r="J1030" s="1"/>
      <c r="K1030" s="1"/>
      <c r="L1030" s="1"/>
      <c r="M1030" s="1"/>
      <c r="N1030" s="1"/>
      <c r="O1030" s="1"/>
    </row>
    <row r="1031" spans="2:15" x14ac:dyDescent="0.25">
      <c r="B1031" s="1"/>
      <c r="C1031" s="1"/>
      <c r="D1031" s="1"/>
      <c r="E1031" s="1"/>
      <c r="F1031" s="1"/>
      <c r="G1031" s="1"/>
      <c r="H1031" s="1"/>
      <c r="I1031" s="1"/>
      <c r="J1031" s="1"/>
      <c r="K1031" s="1"/>
      <c r="L1031" s="1"/>
      <c r="M1031" s="1"/>
      <c r="N1031" s="1"/>
      <c r="O1031" s="1"/>
    </row>
    <row r="1032" spans="2:15" x14ac:dyDescent="0.25">
      <c r="B1032" s="1"/>
      <c r="C1032" s="1"/>
      <c r="D1032" s="1"/>
      <c r="E1032" s="1"/>
      <c r="F1032" s="1"/>
      <c r="G1032" s="1"/>
      <c r="H1032" s="1"/>
      <c r="I1032" s="1"/>
      <c r="J1032" s="1"/>
      <c r="K1032" s="1"/>
      <c r="L1032" s="1"/>
      <c r="M1032" s="1"/>
      <c r="N1032" s="1"/>
      <c r="O1032" s="1"/>
    </row>
    <row r="1033" spans="2:15" x14ac:dyDescent="0.25">
      <c r="B1033" s="1"/>
      <c r="C1033" s="1"/>
      <c r="D1033" s="1"/>
      <c r="E1033" s="1"/>
      <c r="F1033" s="1"/>
      <c r="G1033" s="1"/>
      <c r="H1033" s="1"/>
      <c r="I1033" s="1"/>
      <c r="J1033" s="1"/>
      <c r="K1033" s="1"/>
      <c r="L1033" s="1"/>
      <c r="M1033" s="1"/>
      <c r="N1033" s="1"/>
      <c r="O1033" s="1"/>
    </row>
    <row r="1034" spans="2:15" x14ac:dyDescent="0.25">
      <c r="B1034" s="1"/>
      <c r="C1034" s="1"/>
      <c r="D1034" s="1"/>
      <c r="E1034" s="1"/>
      <c r="F1034" s="1"/>
      <c r="G1034" s="1"/>
      <c r="H1034" s="1"/>
      <c r="I1034" s="1"/>
      <c r="J1034" s="1"/>
      <c r="K1034" s="1"/>
      <c r="L1034" s="1"/>
      <c r="M1034" s="1"/>
      <c r="N1034" s="1"/>
      <c r="O1034" s="1"/>
    </row>
    <row r="1035" spans="2:15" x14ac:dyDescent="0.25">
      <c r="B1035" s="1"/>
      <c r="C1035" s="1"/>
      <c r="D1035" s="1"/>
      <c r="E1035" s="1"/>
      <c r="F1035" s="1"/>
      <c r="G1035" s="1"/>
      <c r="H1035" s="1"/>
      <c r="I1035" s="1"/>
      <c r="J1035" s="1"/>
      <c r="K1035" s="1"/>
      <c r="L1035" s="1"/>
      <c r="M1035" s="1"/>
      <c r="N1035" s="1"/>
      <c r="O1035" s="1"/>
    </row>
    <row r="1036" spans="2:15" x14ac:dyDescent="0.25">
      <c r="B1036" s="1"/>
      <c r="C1036" s="1"/>
      <c r="D1036" s="1"/>
      <c r="E1036" s="1"/>
      <c r="F1036" s="1"/>
      <c r="G1036" s="1"/>
      <c r="H1036" s="1"/>
      <c r="I1036" s="1"/>
      <c r="J1036" s="1"/>
      <c r="K1036" s="1"/>
      <c r="L1036" s="1"/>
      <c r="M1036" s="1"/>
      <c r="N1036" s="1"/>
      <c r="O1036" s="1"/>
    </row>
    <row r="1037" spans="2:15" x14ac:dyDescent="0.25">
      <c r="B1037" s="1"/>
      <c r="C1037" s="1"/>
      <c r="D1037" s="1"/>
      <c r="E1037" s="1"/>
      <c r="F1037" s="1"/>
      <c r="G1037" s="1"/>
      <c r="H1037" s="1"/>
      <c r="I1037" s="1"/>
      <c r="J1037" s="1"/>
      <c r="K1037" s="1"/>
      <c r="L1037" s="1"/>
      <c r="M1037" s="1"/>
      <c r="N1037" s="1"/>
      <c r="O1037" s="1"/>
    </row>
    <row r="1038" spans="2:15" x14ac:dyDescent="0.25">
      <c r="B1038" s="1"/>
      <c r="C1038" s="1"/>
      <c r="D1038" s="1"/>
      <c r="E1038" s="1"/>
      <c r="F1038" s="1"/>
      <c r="G1038" s="1"/>
      <c r="H1038" s="1"/>
      <c r="I1038" s="1"/>
      <c r="J1038" s="1"/>
      <c r="K1038" s="1"/>
      <c r="L1038" s="1"/>
      <c r="M1038" s="1"/>
      <c r="N1038" s="1"/>
      <c r="O1038" s="1"/>
    </row>
    <row r="1039" spans="2:15" x14ac:dyDescent="0.25">
      <c r="B1039" s="1"/>
      <c r="C1039" s="1"/>
      <c r="D1039" s="1"/>
      <c r="E1039" s="1"/>
      <c r="F1039" s="1"/>
      <c r="G1039" s="1"/>
      <c r="H1039" s="1"/>
      <c r="I1039" s="1"/>
      <c r="J1039" s="1"/>
      <c r="K1039" s="1"/>
      <c r="L1039" s="1"/>
      <c r="M1039" s="1"/>
      <c r="N1039" s="1"/>
      <c r="O1039" s="1"/>
    </row>
    <row r="1040" spans="2:15" x14ac:dyDescent="0.25">
      <c r="B1040" s="1"/>
      <c r="C1040" s="1"/>
      <c r="D1040" s="1"/>
      <c r="E1040" s="1"/>
      <c r="F1040" s="1"/>
      <c r="G1040" s="1"/>
      <c r="H1040" s="1"/>
      <c r="I1040" s="1"/>
      <c r="J1040" s="1"/>
      <c r="K1040" s="1"/>
      <c r="L1040" s="1"/>
      <c r="M1040" s="1"/>
      <c r="N1040" s="1"/>
      <c r="O1040" s="1"/>
    </row>
    <row r="1041" spans="2:15" x14ac:dyDescent="0.25">
      <c r="B1041" s="1"/>
      <c r="C1041" s="1"/>
      <c r="D1041" s="1"/>
      <c r="E1041" s="1"/>
      <c r="F1041" s="1"/>
      <c r="G1041" s="1"/>
      <c r="H1041" s="1"/>
      <c r="I1041" s="1"/>
      <c r="J1041" s="1"/>
      <c r="K1041" s="1"/>
      <c r="L1041" s="1"/>
      <c r="M1041" s="1"/>
      <c r="N1041" s="1"/>
      <c r="O1041" s="1"/>
    </row>
    <row r="1042" spans="2:15" x14ac:dyDescent="0.25">
      <c r="B1042" s="1"/>
      <c r="C1042" s="1"/>
      <c r="D1042" s="1"/>
      <c r="E1042" s="1"/>
      <c r="F1042" s="1"/>
      <c r="G1042" s="1"/>
      <c r="H1042" s="1"/>
      <c r="I1042" s="1"/>
      <c r="J1042" s="1"/>
      <c r="K1042" s="1"/>
      <c r="L1042" s="1"/>
      <c r="M1042" s="1"/>
      <c r="N1042" s="1"/>
      <c r="O1042" s="1"/>
    </row>
    <row r="1043" spans="2:15" x14ac:dyDescent="0.25">
      <c r="B1043" s="1"/>
      <c r="C1043" s="1"/>
      <c r="D1043" s="1"/>
      <c r="E1043" s="1"/>
      <c r="F1043" s="1"/>
      <c r="G1043" s="1"/>
      <c r="H1043" s="1"/>
      <c r="I1043" s="1"/>
      <c r="J1043" s="1"/>
      <c r="K1043" s="1"/>
      <c r="L1043" s="1"/>
      <c r="M1043" s="1"/>
      <c r="N1043" s="1"/>
      <c r="O1043" s="1"/>
    </row>
    <row r="1044" spans="2:15" x14ac:dyDescent="0.25">
      <c r="B1044" s="1"/>
      <c r="C1044" s="1"/>
      <c r="D1044" s="1"/>
      <c r="E1044" s="1"/>
      <c r="F1044" s="1"/>
      <c r="G1044" s="1"/>
      <c r="H1044" s="1"/>
      <c r="I1044" s="1"/>
      <c r="J1044" s="1"/>
      <c r="K1044" s="1"/>
      <c r="L1044" s="1"/>
      <c r="M1044" s="1"/>
      <c r="N1044" s="1"/>
      <c r="O1044" s="1"/>
    </row>
    <row r="1045" spans="2:15" x14ac:dyDescent="0.25">
      <c r="B1045" s="1"/>
      <c r="C1045" s="1"/>
      <c r="D1045" s="1"/>
      <c r="E1045" s="1"/>
      <c r="F1045" s="1"/>
      <c r="G1045" s="1"/>
      <c r="H1045" s="1"/>
      <c r="I1045" s="1"/>
      <c r="J1045" s="1"/>
      <c r="K1045" s="1"/>
      <c r="L1045" s="1"/>
      <c r="M1045" s="1"/>
      <c r="N1045" s="1"/>
      <c r="O1045" s="1"/>
    </row>
    <row r="1046" spans="2:15" x14ac:dyDescent="0.25">
      <c r="B1046" s="1"/>
      <c r="C1046" s="1"/>
      <c r="D1046" s="1"/>
      <c r="E1046" s="1"/>
      <c r="F1046" s="1"/>
      <c r="G1046" s="1"/>
      <c r="H1046" s="1"/>
      <c r="I1046" s="1"/>
      <c r="J1046" s="1"/>
      <c r="K1046" s="1"/>
      <c r="L1046" s="1"/>
      <c r="M1046" s="1"/>
      <c r="N1046" s="1"/>
      <c r="O1046" s="1"/>
    </row>
    <row r="1047" spans="2:15" x14ac:dyDescent="0.25">
      <c r="B1047" s="1"/>
      <c r="C1047" s="1"/>
      <c r="D1047" s="1"/>
      <c r="E1047" s="1"/>
      <c r="F1047" s="1"/>
      <c r="G1047" s="1"/>
      <c r="H1047" s="1"/>
      <c r="I1047" s="1"/>
      <c r="J1047" s="1"/>
      <c r="K1047" s="1"/>
      <c r="L1047" s="1"/>
      <c r="M1047" s="1"/>
      <c r="N1047" s="1"/>
      <c r="O1047" s="1"/>
    </row>
    <row r="1048" spans="2:15" x14ac:dyDescent="0.25">
      <c r="B1048" s="1"/>
      <c r="C1048" s="1"/>
      <c r="D1048" s="1"/>
      <c r="E1048" s="1"/>
      <c r="F1048" s="1"/>
      <c r="G1048" s="1"/>
      <c r="H1048" s="1"/>
      <c r="I1048" s="1"/>
      <c r="J1048" s="1"/>
      <c r="K1048" s="1"/>
      <c r="L1048" s="1"/>
      <c r="M1048" s="1"/>
      <c r="N1048" s="1"/>
      <c r="O1048" s="1"/>
    </row>
    <row r="1049" spans="2:15" x14ac:dyDescent="0.25">
      <c r="B1049" s="1"/>
      <c r="C1049" s="1"/>
      <c r="D1049" s="1"/>
      <c r="E1049" s="1"/>
      <c r="F1049" s="1"/>
      <c r="G1049" s="1"/>
      <c r="H1049" s="1"/>
      <c r="I1049" s="1"/>
      <c r="J1049" s="1"/>
      <c r="K1049" s="1"/>
      <c r="L1049" s="1"/>
      <c r="M1049" s="1"/>
      <c r="N1049" s="1"/>
      <c r="O1049" s="1"/>
    </row>
    <row r="1050" spans="2:15" x14ac:dyDescent="0.25">
      <c r="B1050" s="1"/>
      <c r="C1050" s="1"/>
      <c r="D1050" s="1"/>
      <c r="E1050" s="1"/>
      <c r="F1050" s="1"/>
      <c r="G1050" s="1"/>
      <c r="H1050" s="1"/>
      <c r="I1050" s="1"/>
      <c r="J1050" s="1"/>
      <c r="K1050" s="1"/>
      <c r="L1050" s="1"/>
      <c r="M1050" s="1"/>
      <c r="N1050" s="1"/>
      <c r="O1050" s="1"/>
    </row>
    <row r="1051" spans="2:15" x14ac:dyDescent="0.25">
      <c r="B1051" s="1"/>
      <c r="C1051" s="1"/>
      <c r="D1051" s="1"/>
      <c r="E1051" s="1"/>
      <c r="F1051" s="1"/>
      <c r="G1051" s="1"/>
      <c r="H1051" s="1"/>
      <c r="I1051" s="1"/>
      <c r="J1051" s="1"/>
      <c r="K1051" s="1"/>
      <c r="L1051" s="1"/>
      <c r="M1051" s="1"/>
      <c r="N1051" s="1"/>
      <c r="O1051" s="1"/>
    </row>
    <row r="1052" spans="2:15" x14ac:dyDescent="0.25">
      <c r="B1052" s="1"/>
      <c r="C1052" s="1"/>
      <c r="D1052" s="1"/>
      <c r="E1052" s="1"/>
      <c r="F1052" s="1"/>
      <c r="G1052" s="1"/>
      <c r="H1052" s="1"/>
      <c r="I1052" s="1"/>
      <c r="J1052" s="1"/>
      <c r="K1052" s="1"/>
      <c r="L1052" s="1"/>
      <c r="M1052" s="1"/>
      <c r="N1052" s="1"/>
      <c r="O1052" s="1"/>
    </row>
    <row r="1053" spans="2:15" x14ac:dyDescent="0.25">
      <c r="B1053" s="1"/>
      <c r="C1053" s="1"/>
      <c r="D1053" s="1"/>
      <c r="E1053" s="1"/>
      <c r="F1053" s="1"/>
      <c r="G1053" s="1"/>
      <c r="H1053" s="1"/>
      <c r="I1053" s="1"/>
      <c r="J1053" s="1"/>
      <c r="K1053" s="1"/>
      <c r="L1053" s="1"/>
      <c r="M1053" s="1"/>
      <c r="N1053" s="1"/>
      <c r="O1053" s="1"/>
    </row>
    <row r="1054" spans="2:15" x14ac:dyDescent="0.25">
      <c r="B1054" s="1"/>
      <c r="C1054" s="1"/>
      <c r="D1054" s="1"/>
      <c r="E1054" s="1"/>
      <c r="F1054" s="1"/>
      <c r="G1054" s="1"/>
      <c r="H1054" s="1"/>
      <c r="I1054" s="1"/>
      <c r="J1054" s="1"/>
      <c r="K1054" s="1"/>
      <c r="L1054" s="1"/>
      <c r="M1054" s="1"/>
      <c r="N1054" s="1"/>
      <c r="O1054" s="1"/>
    </row>
    <row r="1055" spans="2:15" x14ac:dyDescent="0.25">
      <c r="B1055" s="1"/>
      <c r="C1055" s="1"/>
      <c r="D1055" s="1"/>
      <c r="E1055" s="1"/>
      <c r="F1055" s="1"/>
      <c r="G1055" s="1"/>
      <c r="H1055" s="1"/>
      <c r="I1055" s="1"/>
      <c r="J1055" s="1"/>
      <c r="K1055" s="1"/>
      <c r="L1055" s="1"/>
      <c r="M1055" s="1"/>
      <c r="N1055" s="1"/>
      <c r="O1055" s="1"/>
    </row>
    <row r="1056" spans="2:15" x14ac:dyDescent="0.25">
      <c r="B1056" s="1"/>
      <c r="C1056" s="1"/>
      <c r="D1056" s="1"/>
      <c r="E1056" s="1"/>
      <c r="F1056" s="1"/>
      <c r="G1056" s="1"/>
      <c r="H1056" s="1"/>
      <c r="I1056" s="1"/>
      <c r="J1056" s="1"/>
      <c r="K1056" s="1"/>
      <c r="L1056" s="1"/>
      <c r="M1056" s="1"/>
      <c r="N1056" s="1"/>
      <c r="O1056" s="1"/>
    </row>
    <row r="1057" spans="2:15" x14ac:dyDescent="0.25">
      <c r="B1057" s="1"/>
      <c r="C1057" s="1"/>
      <c r="D1057" s="1"/>
      <c r="E1057" s="1"/>
      <c r="F1057" s="1"/>
      <c r="G1057" s="1"/>
      <c r="H1057" s="1"/>
      <c r="I1057" s="1"/>
      <c r="J1057" s="1"/>
      <c r="K1057" s="1"/>
      <c r="L1057" s="1"/>
      <c r="M1057" s="1"/>
      <c r="N1057" s="1"/>
      <c r="O1057" s="1"/>
    </row>
    <row r="1058" spans="2:15" x14ac:dyDescent="0.25">
      <c r="B1058" s="1"/>
      <c r="C1058" s="1"/>
      <c r="D1058" s="1"/>
      <c r="E1058" s="1"/>
      <c r="F1058" s="1"/>
      <c r="G1058" s="1"/>
      <c r="H1058" s="1"/>
      <c r="I1058" s="1"/>
      <c r="J1058" s="1"/>
      <c r="K1058" s="1"/>
      <c r="L1058" s="1"/>
      <c r="M1058" s="1"/>
      <c r="N1058" s="1"/>
      <c r="O1058" s="1"/>
    </row>
    <row r="1059" spans="2:15" x14ac:dyDescent="0.25">
      <c r="B1059" s="1"/>
      <c r="C1059" s="1"/>
      <c r="D1059" s="1"/>
      <c r="E1059" s="1"/>
      <c r="F1059" s="1"/>
      <c r="G1059" s="1"/>
      <c r="H1059" s="1"/>
      <c r="I1059" s="1"/>
      <c r="J1059" s="1"/>
      <c r="K1059" s="1"/>
      <c r="L1059" s="1"/>
      <c r="M1059" s="1"/>
      <c r="N1059" s="1"/>
      <c r="O1059" s="1"/>
    </row>
    <row r="1060" spans="2:15" x14ac:dyDescent="0.25">
      <c r="B1060" s="1"/>
      <c r="C1060" s="1"/>
      <c r="D1060" s="1"/>
      <c r="E1060" s="1"/>
      <c r="F1060" s="1"/>
      <c r="G1060" s="1"/>
      <c r="H1060" s="1"/>
      <c r="I1060" s="1"/>
      <c r="J1060" s="1"/>
      <c r="K1060" s="1"/>
      <c r="L1060" s="1"/>
      <c r="M1060" s="1"/>
      <c r="N1060" s="1"/>
      <c r="O1060" s="1"/>
    </row>
    <row r="1061" spans="2:15" x14ac:dyDescent="0.25">
      <c r="B1061" s="1"/>
      <c r="C1061" s="1"/>
      <c r="D1061" s="1"/>
      <c r="E1061" s="1"/>
      <c r="F1061" s="1"/>
      <c r="G1061" s="1"/>
      <c r="H1061" s="1"/>
      <c r="I1061" s="1"/>
      <c r="J1061" s="1"/>
      <c r="K1061" s="1"/>
      <c r="L1061" s="1"/>
      <c r="M1061" s="1"/>
      <c r="N1061" s="1"/>
      <c r="O1061" s="1"/>
    </row>
    <row r="1062" spans="2:15" x14ac:dyDescent="0.25">
      <c r="B1062" s="1"/>
      <c r="C1062" s="1"/>
      <c r="D1062" s="1"/>
      <c r="E1062" s="1"/>
      <c r="F1062" s="1"/>
      <c r="G1062" s="1"/>
      <c r="H1062" s="1"/>
      <c r="I1062" s="1"/>
      <c r="J1062" s="1"/>
      <c r="K1062" s="1"/>
      <c r="L1062" s="1"/>
      <c r="M1062" s="1"/>
      <c r="N1062" s="1"/>
      <c r="O1062" s="1"/>
    </row>
    <row r="1063" spans="2:15" x14ac:dyDescent="0.25">
      <c r="B1063" s="1"/>
      <c r="C1063" s="1"/>
      <c r="D1063" s="1"/>
      <c r="E1063" s="1"/>
      <c r="F1063" s="1"/>
      <c r="G1063" s="1"/>
      <c r="H1063" s="1"/>
      <c r="I1063" s="1"/>
      <c r="J1063" s="1"/>
      <c r="K1063" s="1"/>
      <c r="L1063" s="1"/>
      <c r="M1063" s="1"/>
      <c r="N1063" s="1"/>
      <c r="O1063" s="1"/>
    </row>
    <row r="1064" spans="2:15" x14ac:dyDescent="0.25">
      <c r="B1064" s="1"/>
      <c r="C1064" s="1"/>
      <c r="D1064" s="1"/>
      <c r="E1064" s="1"/>
      <c r="F1064" s="1"/>
      <c r="G1064" s="1"/>
      <c r="H1064" s="1"/>
      <c r="I1064" s="1"/>
      <c r="J1064" s="1"/>
      <c r="K1064" s="1"/>
      <c r="L1064" s="1"/>
      <c r="M1064" s="1"/>
      <c r="N1064" s="1"/>
      <c r="O1064" s="1"/>
    </row>
    <row r="1065" spans="2:15" x14ac:dyDescent="0.25">
      <c r="B1065" s="1"/>
      <c r="C1065" s="1"/>
      <c r="D1065" s="1"/>
      <c r="E1065" s="1"/>
      <c r="F1065" s="1"/>
      <c r="G1065" s="1"/>
      <c r="H1065" s="1"/>
      <c r="I1065" s="1"/>
      <c r="J1065" s="1"/>
      <c r="K1065" s="1"/>
      <c r="L1065" s="1"/>
      <c r="M1065" s="1"/>
      <c r="N1065" s="1"/>
      <c r="O1065" s="1"/>
    </row>
    <row r="1066" spans="2:15" x14ac:dyDescent="0.25">
      <c r="B1066" s="1"/>
      <c r="C1066" s="1"/>
      <c r="D1066" s="1"/>
      <c r="E1066" s="1"/>
      <c r="F1066" s="1"/>
      <c r="G1066" s="1"/>
      <c r="H1066" s="1"/>
      <c r="I1066" s="1"/>
      <c r="J1066" s="1"/>
      <c r="K1066" s="1"/>
      <c r="L1066" s="1"/>
      <c r="M1066" s="1"/>
      <c r="N1066" s="1"/>
      <c r="O1066" s="1"/>
    </row>
    <row r="1067" spans="2:15" x14ac:dyDescent="0.25">
      <c r="B1067" s="1"/>
      <c r="C1067" s="1"/>
      <c r="D1067" s="1"/>
      <c r="E1067" s="1"/>
      <c r="F1067" s="1"/>
      <c r="G1067" s="1"/>
      <c r="H1067" s="1"/>
      <c r="I1067" s="1"/>
      <c r="J1067" s="1"/>
      <c r="K1067" s="1"/>
      <c r="L1067" s="1"/>
      <c r="M1067" s="1"/>
      <c r="N1067" s="1"/>
      <c r="O1067" s="1"/>
    </row>
    <row r="1068" spans="2:15" x14ac:dyDescent="0.25">
      <c r="B1068" s="1"/>
      <c r="C1068" s="1"/>
      <c r="D1068" s="1"/>
      <c r="E1068" s="1"/>
      <c r="F1068" s="1"/>
      <c r="G1068" s="1"/>
      <c r="H1068" s="1"/>
      <c r="I1068" s="1"/>
      <c r="J1068" s="1"/>
      <c r="K1068" s="1"/>
      <c r="L1068" s="1"/>
      <c r="M1068" s="1"/>
      <c r="N1068" s="1"/>
      <c r="O1068" s="1"/>
    </row>
    <row r="1069" spans="2:15" x14ac:dyDescent="0.25">
      <c r="B1069" s="1"/>
      <c r="C1069" s="1"/>
      <c r="D1069" s="1"/>
      <c r="E1069" s="1"/>
      <c r="F1069" s="1"/>
      <c r="G1069" s="1"/>
      <c r="H1069" s="1"/>
      <c r="I1069" s="1"/>
      <c r="J1069" s="1"/>
      <c r="K1069" s="1"/>
      <c r="L1069" s="1"/>
      <c r="M1069" s="1"/>
      <c r="N1069" s="1"/>
      <c r="O1069" s="1"/>
    </row>
    <row r="1070" spans="2:15" x14ac:dyDescent="0.25">
      <c r="B1070" s="1"/>
      <c r="C1070" s="1"/>
      <c r="D1070" s="1"/>
      <c r="E1070" s="1"/>
      <c r="F1070" s="1"/>
      <c r="G1070" s="1"/>
      <c r="H1070" s="1"/>
      <c r="I1070" s="1"/>
      <c r="J1070" s="1"/>
      <c r="K1070" s="1"/>
      <c r="L1070" s="1"/>
      <c r="M1070" s="1"/>
      <c r="N1070" s="1"/>
      <c r="O1070" s="1"/>
    </row>
    <row r="1071" spans="2:15" x14ac:dyDescent="0.25">
      <c r="B1071" s="1"/>
      <c r="C1071" s="1"/>
      <c r="D1071" s="1"/>
      <c r="E1071" s="1"/>
      <c r="F1071" s="1"/>
      <c r="G1071" s="1"/>
      <c r="H1071" s="1"/>
      <c r="I1071" s="1"/>
      <c r="J1071" s="1"/>
      <c r="K1071" s="1"/>
      <c r="L1071" s="1"/>
      <c r="M1071" s="1"/>
      <c r="N1071" s="1"/>
      <c r="O1071" s="1"/>
    </row>
    <row r="1072" spans="2:15" x14ac:dyDescent="0.25">
      <c r="B1072" s="1"/>
      <c r="C1072" s="1"/>
      <c r="D1072" s="1"/>
      <c r="E1072" s="1"/>
      <c r="F1072" s="1"/>
      <c r="G1072" s="1"/>
      <c r="H1072" s="1"/>
      <c r="I1072" s="1"/>
      <c r="J1072" s="1"/>
      <c r="K1072" s="1"/>
      <c r="L1072" s="1"/>
      <c r="M1072" s="1"/>
      <c r="N1072" s="1"/>
      <c r="O1072" s="1"/>
    </row>
    <row r="1073" spans="2:15" x14ac:dyDescent="0.25">
      <c r="B1073" s="1"/>
      <c r="C1073" s="1"/>
      <c r="D1073" s="1"/>
      <c r="E1073" s="1"/>
      <c r="F1073" s="1"/>
      <c r="G1073" s="1"/>
      <c r="H1073" s="1"/>
      <c r="I1073" s="1"/>
      <c r="J1073" s="1"/>
      <c r="K1073" s="1"/>
      <c r="L1073" s="1"/>
      <c r="M1073" s="1"/>
      <c r="N1073" s="1"/>
      <c r="O1073" s="1"/>
    </row>
    <row r="1074" spans="2:15" x14ac:dyDescent="0.25">
      <c r="B1074" s="1"/>
      <c r="C1074" s="1"/>
      <c r="D1074" s="1"/>
      <c r="E1074" s="1"/>
      <c r="F1074" s="1"/>
      <c r="G1074" s="1"/>
      <c r="H1074" s="1"/>
      <c r="I1074" s="1"/>
      <c r="J1074" s="1"/>
      <c r="K1074" s="1"/>
      <c r="L1074" s="1"/>
      <c r="M1074" s="1"/>
      <c r="N1074" s="1"/>
      <c r="O1074" s="1"/>
    </row>
    <row r="1075" spans="2:15" x14ac:dyDescent="0.25">
      <c r="B1075" s="1"/>
      <c r="C1075" s="1"/>
      <c r="D1075" s="1"/>
      <c r="E1075" s="1"/>
      <c r="F1075" s="1"/>
      <c r="G1075" s="1"/>
      <c r="H1075" s="1"/>
      <c r="I1075" s="1"/>
      <c r="J1075" s="1"/>
      <c r="K1075" s="1"/>
      <c r="L1075" s="1"/>
      <c r="M1075" s="1"/>
      <c r="N1075" s="1"/>
      <c r="O1075" s="1"/>
    </row>
    <row r="1076" spans="2:15" x14ac:dyDescent="0.25">
      <c r="B1076" s="1"/>
      <c r="C1076" s="1"/>
      <c r="D1076" s="1"/>
      <c r="E1076" s="1"/>
      <c r="F1076" s="1"/>
      <c r="G1076" s="1"/>
      <c r="H1076" s="1"/>
      <c r="I1076" s="1"/>
      <c r="J1076" s="1"/>
      <c r="K1076" s="1"/>
      <c r="L1076" s="1"/>
      <c r="M1076" s="1"/>
      <c r="N1076" s="1"/>
      <c r="O1076" s="1"/>
    </row>
    <row r="1077" spans="2:15" x14ac:dyDescent="0.25">
      <c r="B1077" s="1"/>
      <c r="C1077" s="1"/>
      <c r="D1077" s="1"/>
      <c r="E1077" s="1"/>
      <c r="F1077" s="1"/>
      <c r="G1077" s="1"/>
      <c r="H1077" s="1"/>
      <c r="I1077" s="1"/>
      <c r="J1077" s="1"/>
      <c r="K1077" s="1"/>
      <c r="L1077" s="1"/>
      <c r="M1077" s="1"/>
      <c r="N1077" s="1"/>
      <c r="O1077" s="1"/>
    </row>
    <row r="1078" spans="2:15" x14ac:dyDescent="0.25">
      <c r="B1078" s="1"/>
      <c r="C1078" s="1"/>
      <c r="D1078" s="1"/>
      <c r="E1078" s="1"/>
      <c r="F1078" s="1"/>
      <c r="G1078" s="1"/>
      <c r="H1078" s="1"/>
      <c r="I1078" s="1"/>
      <c r="J1078" s="1"/>
      <c r="K1078" s="1"/>
      <c r="L1078" s="1"/>
      <c r="M1078" s="1"/>
      <c r="N1078" s="1"/>
      <c r="O1078" s="1"/>
    </row>
    <row r="1079" spans="2:15" x14ac:dyDescent="0.25">
      <c r="B1079" s="1"/>
      <c r="C1079" s="1"/>
      <c r="D1079" s="1"/>
      <c r="E1079" s="1"/>
      <c r="F1079" s="1"/>
      <c r="G1079" s="1"/>
      <c r="H1079" s="1"/>
      <c r="I1079" s="1"/>
      <c r="J1079" s="1"/>
      <c r="K1079" s="1"/>
      <c r="L1079" s="1"/>
      <c r="M1079" s="1"/>
      <c r="N1079" s="1"/>
      <c r="O1079" s="1"/>
    </row>
    <row r="1080" spans="2:15" x14ac:dyDescent="0.25">
      <c r="B1080" s="1"/>
      <c r="C1080" s="1"/>
      <c r="D1080" s="1"/>
      <c r="E1080" s="1"/>
      <c r="F1080" s="1"/>
      <c r="G1080" s="1"/>
      <c r="H1080" s="1"/>
      <c r="I1080" s="1"/>
      <c r="J1080" s="1"/>
      <c r="K1080" s="1"/>
      <c r="L1080" s="1"/>
      <c r="M1080" s="1"/>
      <c r="N1080" s="1"/>
      <c r="O1080" s="1"/>
    </row>
    <row r="1081" spans="2:15" x14ac:dyDescent="0.25">
      <c r="B1081" s="1"/>
      <c r="C1081" s="1"/>
      <c r="D1081" s="1"/>
      <c r="E1081" s="1"/>
      <c r="F1081" s="1"/>
      <c r="G1081" s="1"/>
      <c r="H1081" s="1"/>
      <c r="I1081" s="1"/>
      <c r="J1081" s="1"/>
      <c r="K1081" s="1"/>
      <c r="L1081" s="1"/>
      <c r="M1081" s="1"/>
      <c r="N1081" s="1"/>
      <c r="O1081" s="1"/>
    </row>
    <row r="1082" spans="2:15" x14ac:dyDescent="0.25">
      <c r="B1082" s="1"/>
      <c r="C1082" s="1"/>
      <c r="D1082" s="1"/>
      <c r="E1082" s="1"/>
      <c r="F1082" s="1"/>
      <c r="G1082" s="1"/>
      <c r="H1082" s="1"/>
      <c r="I1082" s="1"/>
      <c r="J1082" s="1"/>
      <c r="K1082" s="1"/>
      <c r="L1082" s="1"/>
      <c r="M1082" s="1"/>
      <c r="N1082" s="1"/>
      <c r="O1082" s="1"/>
    </row>
    <row r="1083" spans="2:15" x14ac:dyDescent="0.25">
      <c r="B1083" s="1"/>
      <c r="C1083" s="1"/>
      <c r="D1083" s="1"/>
      <c r="E1083" s="1"/>
      <c r="F1083" s="1"/>
      <c r="G1083" s="1"/>
      <c r="H1083" s="1"/>
      <c r="I1083" s="1"/>
      <c r="J1083" s="1"/>
      <c r="K1083" s="1"/>
      <c r="L1083" s="1"/>
      <c r="M1083" s="1"/>
      <c r="N1083" s="1"/>
      <c r="O1083" s="1"/>
    </row>
    <row r="1084" spans="2:15" x14ac:dyDescent="0.25">
      <c r="B1084" s="1"/>
      <c r="C1084" s="1"/>
      <c r="D1084" s="1"/>
      <c r="E1084" s="1"/>
      <c r="F1084" s="1"/>
      <c r="G1084" s="1"/>
      <c r="H1084" s="1"/>
      <c r="I1084" s="1"/>
      <c r="J1084" s="1"/>
      <c r="K1084" s="1"/>
      <c r="L1084" s="1"/>
      <c r="M1084" s="1"/>
      <c r="N1084" s="1"/>
      <c r="O1084" s="1"/>
    </row>
    <row r="1085" spans="2:15" x14ac:dyDescent="0.25">
      <c r="B1085" s="1"/>
      <c r="C1085" s="1"/>
      <c r="D1085" s="1"/>
      <c r="E1085" s="1"/>
      <c r="F1085" s="1"/>
      <c r="G1085" s="1"/>
      <c r="H1085" s="1"/>
      <c r="I1085" s="1"/>
      <c r="J1085" s="1"/>
      <c r="K1085" s="1"/>
      <c r="L1085" s="1"/>
      <c r="M1085" s="1"/>
      <c r="N1085" s="1"/>
      <c r="O1085" s="1"/>
    </row>
    <row r="1086" spans="2:15" x14ac:dyDescent="0.25">
      <c r="B1086" s="1"/>
      <c r="C1086" s="1"/>
      <c r="D1086" s="1"/>
      <c r="E1086" s="1"/>
      <c r="F1086" s="1"/>
      <c r="G1086" s="1"/>
      <c r="H1086" s="1"/>
      <c r="I1086" s="1"/>
      <c r="J1086" s="1"/>
      <c r="K1086" s="1"/>
      <c r="L1086" s="1"/>
      <c r="M1086" s="1"/>
      <c r="N1086" s="1"/>
      <c r="O1086" s="1"/>
    </row>
    <row r="1087" spans="2:15" x14ac:dyDescent="0.25">
      <c r="B1087" s="1"/>
      <c r="C1087" s="1"/>
      <c r="D1087" s="1"/>
      <c r="E1087" s="1"/>
      <c r="F1087" s="1"/>
      <c r="G1087" s="1"/>
      <c r="H1087" s="1"/>
      <c r="I1087" s="1"/>
      <c r="J1087" s="1"/>
      <c r="K1087" s="1"/>
      <c r="L1087" s="1"/>
      <c r="M1087" s="1"/>
      <c r="N1087" s="1"/>
      <c r="O1087" s="1"/>
    </row>
    <row r="1088" spans="2:15" x14ac:dyDescent="0.25">
      <c r="B1088" s="1"/>
      <c r="C1088" s="1"/>
      <c r="D1088" s="1"/>
      <c r="E1088" s="1"/>
      <c r="F1088" s="1"/>
      <c r="G1088" s="1"/>
      <c r="H1088" s="1"/>
      <c r="I1088" s="1"/>
      <c r="J1088" s="1"/>
      <c r="K1088" s="1"/>
      <c r="L1088" s="1"/>
      <c r="M1088" s="1"/>
      <c r="N1088" s="1"/>
      <c r="O1088" s="1"/>
    </row>
    <row r="1089" spans="2:15" x14ac:dyDescent="0.25">
      <c r="B1089" s="1"/>
      <c r="C1089" s="1"/>
      <c r="D1089" s="1"/>
      <c r="E1089" s="1"/>
      <c r="F1089" s="1"/>
      <c r="G1089" s="1"/>
      <c r="H1089" s="1"/>
      <c r="I1089" s="1"/>
      <c r="J1089" s="1"/>
      <c r="K1089" s="1"/>
      <c r="L1089" s="1"/>
      <c r="M1089" s="1"/>
      <c r="N1089" s="1"/>
      <c r="O1089" s="1"/>
    </row>
    <row r="1090" spans="2:15" x14ac:dyDescent="0.25">
      <c r="B1090" s="1"/>
      <c r="C1090" s="1"/>
      <c r="D1090" s="1"/>
      <c r="E1090" s="1"/>
      <c r="F1090" s="1"/>
      <c r="G1090" s="1"/>
      <c r="H1090" s="1"/>
      <c r="I1090" s="1"/>
      <c r="J1090" s="1"/>
      <c r="K1090" s="1"/>
      <c r="L1090" s="1"/>
      <c r="M1090" s="1"/>
      <c r="N1090" s="1"/>
      <c r="O1090" s="1"/>
    </row>
    <row r="1091" spans="2:15" x14ac:dyDescent="0.25">
      <c r="B1091" s="1"/>
      <c r="C1091" s="1"/>
      <c r="D1091" s="1"/>
      <c r="E1091" s="1"/>
      <c r="F1091" s="1"/>
      <c r="G1091" s="1"/>
      <c r="H1091" s="1"/>
      <c r="I1091" s="1"/>
      <c r="J1091" s="1"/>
      <c r="K1091" s="1"/>
      <c r="L1091" s="1"/>
      <c r="M1091" s="1"/>
      <c r="N1091" s="1"/>
      <c r="O1091" s="1"/>
    </row>
    <row r="1092" spans="2:15" x14ac:dyDescent="0.25">
      <c r="B1092" s="1"/>
      <c r="C1092" s="1"/>
      <c r="D1092" s="1"/>
      <c r="E1092" s="1"/>
      <c r="F1092" s="1"/>
      <c r="G1092" s="1"/>
      <c r="H1092" s="1"/>
      <c r="I1092" s="1"/>
      <c r="J1092" s="1"/>
      <c r="K1092" s="1"/>
      <c r="L1092" s="1"/>
      <c r="M1092" s="1"/>
      <c r="N1092" s="1"/>
      <c r="O1092" s="1"/>
    </row>
    <row r="1093" spans="2:15" x14ac:dyDescent="0.25">
      <c r="B1093" s="1"/>
      <c r="C1093" s="1"/>
      <c r="D1093" s="1"/>
      <c r="E1093" s="1"/>
      <c r="F1093" s="1"/>
      <c r="G1093" s="1"/>
      <c r="H1093" s="1"/>
      <c r="I1093" s="1"/>
      <c r="J1093" s="1"/>
      <c r="K1093" s="1"/>
      <c r="L1093" s="1"/>
      <c r="M1093" s="1"/>
      <c r="N1093" s="1"/>
      <c r="O1093" s="1"/>
    </row>
    <row r="1094" spans="2:15" x14ac:dyDescent="0.25">
      <c r="B1094" s="1"/>
      <c r="C1094" s="1"/>
      <c r="D1094" s="1"/>
      <c r="E1094" s="1"/>
      <c r="F1094" s="1"/>
      <c r="G1094" s="1"/>
      <c r="H1094" s="1"/>
      <c r="I1094" s="1"/>
      <c r="J1094" s="1"/>
      <c r="K1094" s="1"/>
      <c r="L1094" s="1"/>
      <c r="M1094" s="1"/>
      <c r="N1094" s="1"/>
      <c r="O1094" s="1"/>
    </row>
    <row r="1095" spans="2:15" x14ac:dyDescent="0.25">
      <c r="B1095" s="1"/>
      <c r="C1095" s="1"/>
      <c r="D1095" s="1"/>
      <c r="E1095" s="1"/>
      <c r="F1095" s="1"/>
      <c r="G1095" s="1"/>
      <c r="H1095" s="1"/>
      <c r="I1095" s="1"/>
      <c r="J1095" s="1"/>
      <c r="K1095" s="1"/>
      <c r="L1095" s="1"/>
      <c r="M1095" s="1"/>
      <c r="N1095" s="1"/>
      <c r="O1095" s="1"/>
    </row>
    <row r="1096" spans="2:15" x14ac:dyDescent="0.25">
      <c r="B1096" s="1"/>
      <c r="C1096" s="1"/>
      <c r="D1096" s="1"/>
      <c r="E1096" s="1"/>
      <c r="F1096" s="1"/>
      <c r="G1096" s="1"/>
      <c r="H1096" s="1"/>
      <c r="I1096" s="1"/>
      <c r="J1096" s="1"/>
      <c r="K1096" s="1"/>
      <c r="L1096" s="1"/>
      <c r="M1096" s="1"/>
      <c r="N1096" s="1"/>
      <c r="O1096" s="1"/>
    </row>
    <row r="1097" spans="2:15" x14ac:dyDescent="0.25">
      <c r="B1097" s="1"/>
      <c r="C1097" s="1"/>
      <c r="D1097" s="1"/>
      <c r="E1097" s="1"/>
      <c r="F1097" s="1"/>
      <c r="G1097" s="1"/>
      <c r="H1097" s="1"/>
      <c r="I1097" s="1"/>
      <c r="J1097" s="1"/>
      <c r="K1097" s="1"/>
      <c r="L1097" s="1"/>
      <c r="M1097" s="1"/>
      <c r="N1097" s="1"/>
      <c r="O1097" s="1"/>
    </row>
    <row r="1098" spans="2:15" x14ac:dyDescent="0.25">
      <c r="B1098" s="1"/>
      <c r="C1098" s="1"/>
      <c r="D1098" s="1"/>
      <c r="E1098" s="1"/>
      <c r="F1098" s="1"/>
      <c r="G1098" s="1"/>
      <c r="H1098" s="1"/>
      <c r="I1098" s="1"/>
      <c r="J1098" s="1"/>
      <c r="K1098" s="1"/>
      <c r="L1098" s="1"/>
      <c r="M1098" s="1"/>
      <c r="N1098" s="1"/>
      <c r="O1098" s="1"/>
    </row>
    <row r="1099" spans="2:15" x14ac:dyDescent="0.25">
      <c r="B1099" s="1"/>
      <c r="C1099" s="1"/>
      <c r="D1099" s="1"/>
      <c r="E1099" s="1"/>
      <c r="F1099" s="1"/>
      <c r="G1099" s="1"/>
      <c r="H1099" s="1"/>
      <c r="I1099" s="1"/>
      <c r="J1099" s="1"/>
      <c r="K1099" s="1"/>
      <c r="L1099" s="1"/>
      <c r="M1099" s="1"/>
      <c r="N1099" s="1"/>
      <c r="O1099" s="1"/>
    </row>
    <row r="1100" spans="2:15" x14ac:dyDescent="0.25">
      <c r="B1100" s="1"/>
      <c r="C1100" s="1"/>
      <c r="D1100" s="1"/>
      <c r="E1100" s="1"/>
      <c r="F1100" s="1"/>
      <c r="G1100" s="1"/>
      <c r="H1100" s="1"/>
      <c r="I1100" s="1"/>
      <c r="J1100" s="1"/>
      <c r="K1100" s="1"/>
      <c r="L1100" s="1"/>
      <c r="M1100" s="1"/>
      <c r="N1100" s="1"/>
      <c r="O1100" s="1"/>
    </row>
    <row r="1101" spans="2:15" x14ac:dyDescent="0.25">
      <c r="B1101" s="1"/>
      <c r="C1101" s="1"/>
      <c r="D1101" s="1"/>
      <c r="E1101" s="1"/>
      <c r="F1101" s="1"/>
      <c r="G1101" s="1"/>
      <c r="H1101" s="1"/>
      <c r="I1101" s="1"/>
      <c r="J1101" s="1"/>
      <c r="K1101" s="1"/>
      <c r="L1101" s="1"/>
      <c r="M1101" s="1"/>
      <c r="N1101" s="1"/>
      <c r="O1101" s="1"/>
    </row>
    <row r="1102" spans="2:15" x14ac:dyDescent="0.25">
      <c r="B1102" s="1"/>
      <c r="C1102" s="1"/>
      <c r="D1102" s="1"/>
      <c r="E1102" s="1"/>
      <c r="F1102" s="1"/>
      <c r="G1102" s="1"/>
      <c r="H1102" s="1"/>
      <c r="I1102" s="1"/>
      <c r="J1102" s="1"/>
      <c r="K1102" s="1"/>
      <c r="L1102" s="1"/>
      <c r="M1102" s="1"/>
      <c r="N1102" s="1"/>
      <c r="O1102" s="1"/>
    </row>
    <row r="1103" spans="2:15" x14ac:dyDescent="0.25">
      <c r="B1103" s="1"/>
      <c r="C1103" s="1"/>
      <c r="D1103" s="1"/>
      <c r="E1103" s="1"/>
      <c r="F1103" s="1"/>
      <c r="G1103" s="1"/>
      <c r="H1103" s="1"/>
      <c r="I1103" s="1"/>
      <c r="J1103" s="1"/>
      <c r="K1103" s="1"/>
      <c r="L1103" s="1"/>
      <c r="M1103" s="1"/>
      <c r="N1103" s="1"/>
      <c r="O1103" s="1"/>
    </row>
    <row r="1104" spans="2:15" x14ac:dyDescent="0.25">
      <c r="B1104" s="1"/>
      <c r="C1104" s="1"/>
      <c r="D1104" s="1"/>
      <c r="E1104" s="1"/>
      <c r="F1104" s="1"/>
      <c r="G1104" s="1"/>
      <c r="H1104" s="1"/>
      <c r="I1104" s="1"/>
      <c r="J1104" s="1"/>
      <c r="K1104" s="1"/>
      <c r="L1104" s="1"/>
      <c r="M1104" s="1"/>
      <c r="N1104" s="1"/>
      <c r="O1104" s="1"/>
    </row>
    <row r="1105" spans="2:15" x14ac:dyDescent="0.25">
      <c r="B1105" s="1"/>
      <c r="C1105" s="1"/>
      <c r="D1105" s="1"/>
      <c r="E1105" s="1"/>
      <c r="F1105" s="1"/>
      <c r="G1105" s="1"/>
      <c r="H1105" s="1"/>
      <c r="I1105" s="1"/>
      <c r="J1105" s="1"/>
      <c r="K1105" s="1"/>
      <c r="L1105" s="1"/>
      <c r="M1105" s="1"/>
      <c r="N1105" s="1"/>
      <c r="O1105" s="1"/>
    </row>
    <row r="1106" spans="2:15" x14ac:dyDescent="0.25">
      <c r="B1106" s="1"/>
      <c r="C1106" s="1"/>
      <c r="D1106" s="1"/>
      <c r="E1106" s="1"/>
      <c r="F1106" s="1"/>
      <c r="G1106" s="1"/>
      <c r="H1106" s="1"/>
      <c r="I1106" s="1"/>
      <c r="J1106" s="1"/>
      <c r="K1106" s="1"/>
      <c r="L1106" s="1"/>
      <c r="M1106" s="1"/>
      <c r="N1106" s="1"/>
      <c r="O1106" s="1"/>
    </row>
    <row r="1107" spans="2:15" x14ac:dyDescent="0.25">
      <c r="B1107" s="1"/>
      <c r="C1107" s="1"/>
      <c r="D1107" s="1"/>
      <c r="E1107" s="1"/>
      <c r="F1107" s="1"/>
      <c r="G1107" s="1"/>
      <c r="H1107" s="1"/>
      <c r="I1107" s="1"/>
      <c r="J1107" s="1"/>
      <c r="K1107" s="1"/>
      <c r="L1107" s="1"/>
      <c r="M1107" s="1"/>
      <c r="N1107" s="1"/>
      <c r="O1107" s="1"/>
    </row>
    <row r="1108" spans="2:15" x14ac:dyDescent="0.25">
      <c r="B1108" s="1"/>
      <c r="C1108" s="1"/>
      <c r="D1108" s="1"/>
      <c r="E1108" s="1"/>
      <c r="F1108" s="1"/>
      <c r="G1108" s="1"/>
      <c r="H1108" s="1"/>
      <c r="I1108" s="1"/>
      <c r="J1108" s="1"/>
      <c r="K1108" s="1"/>
      <c r="L1108" s="1"/>
      <c r="M1108" s="1"/>
      <c r="N1108" s="1"/>
      <c r="O1108" s="1"/>
    </row>
    <row r="1109" spans="2:15" x14ac:dyDescent="0.25">
      <c r="B1109" s="1"/>
      <c r="C1109" s="1"/>
      <c r="D1109" s="1"/>
      <c r="E1109" s="1"/>
      <c r="F1109" s="1"/>
      <c r="G1109" s="1"/>
      <c r="H1109" s="1"/>
      <c r="I1109" s="1"/>
      <c r="J1109" s="1"/>
      <c r="K1109" s="1"/>
      <c r="L1109" s="1"/>
      <c r="M1109" s="1"/>
      <c r="N1109" s="1"/>
      <c r="O1109" s="1"/>
    </row>
    <row r="1110" spans="2:15" x14ac:dyDescent="0.25">
      <c r="B1110" s="1"/>
      <c r="C1110" s="1"/>
      <c r="D1110" s="1"/>
      <c r="E1110" s="1"/>
      <c r="F1110" s="1"/>
      <c r="G1110" s="1"/>
      <c r="H1110" s="1"/>
      <c r="I1110" s="1"/>
      <c r="J1110" s="1"/>
      <c r="K1110" s="1"/>
      <c r="L1110" s="1"/>
      <c r="M1110" s="1"/>
      <c r="N1110" s="1"/>
      <c r="O1110" s="1"/>
    </row>
    <row r="1111" spans="2:15" x14ac:dyDescent="0.25">
      <c r="B1111" s="1"/>
      <c r="C1111" s="1"/>
      <c r="D1111" s="1"/>
      <c r="E1111" s="1"/>
      <c r="F1111" s="1"/>
      <c r="G1111" s="1"/>
      <c r="H1111" s="1"/>
      <c r="I1111" s="1"/>
      <c r="J1111" s="1"/>
      <c r="K1111" s="1"/>
      <c r="L1111" s="1"/>
      <c r="M1111" s="1"/>
      <c r="N1111" s="1"/>
      <c r="O1111" s="1"/>
    </row>
    <row r="1112" spans="2:15" x14ac:dyDescent="0.25">
      <c r="B1112" s="1"/>
      <c r="C1112" s="1"/>
      <c r="D1112" s="1"/>
      <c r="E1112" s="1"/>
      <c r="F1112" s="1"/>
      <c r="G1112" s="1"/>
      <c r="H1112" s="1"/>
      <c r="I1112" s="1"/>
      <c r="J1112" s="1"/>
      <c r="K1112" s="1"/>
      <c r="L1112" s="1"/>
      <c r="M1112" s="1"/>
      <c r="N1112" s="1"/>
      <c r="O1112" s="1"/>
    </row>
    <row r="1113" spans="2:15" x14ac:dyDescent="0.25">
      <c r="B1113" s="1"/>
      <c r="C1113" s="1"/>
      <c r="D1113" s="1"/>
      <c r="E1113" s="1"/>
      <c r="F1113" s="1"/>
      <c r="G1113" s="1"/>
      <c r="H1113" s="1"/>
      <c r="I1113" s="1"/>
      <c r="J1113" s="1"/>
      <c r="K1113" s="1"/>
      <c r="L1113" s="1"/>
      <c r="M1113" s="1"/>
      <c r="N1113" s="1"/>
      <c r="O1113" s="1"/>
    </row>
    <row r="1114" spans="2:15" x14ac:dyDescent="0.25">
      <c r="B1114" s="1"/>
      <c r="C1114" s="1"/>
      <c r="D1114" s="1"/>
      <c r="E1114" s="1"/>
      <c r="F1114" s="1"/>
      <c r="G1114" s="1"/>
      <c r="H1114" s="1"/>
      <c r="I1114" s="1"/>
      <c r="J1114" s="1"/>
      <c r="K1114" s="1"/>
      <c r="L1114" s="1"/>
      <c r="M1114" s="1"/>
      <c r="N1114" s="1"/>
      <c r="O1114" s="1"/>
    </row>
    <row r="1115" spans="2:15" x14ac:dyDescent="0.25">
      <c r="B1115" s="1"/>
      <c r="C1115" s="1"/>
      <c r="D1115" s="1"/>
      <c r="E1115" s="1"/>
      <c r="F1115" s="1"/>
      <c r="G1115" s="1"/>
      <c r="H1115" s="1"/>
      <c r="I1115" s="1"/>
      <c r="J1115" s="1"/>
      <c r="K1115" s="1"/>
      <c r="L1115" s="1"/>
      <c r="M1115" s="1"/>
      <c r="N1115" s="1"/>
      <c r="O1115" s="1"/>
    </row>
    <row r="1116" spans="2:15" x14ac:dyDescent="0.25">
      <c r="B1116" s="1"/>
      <c r="C1116" s="1"/>
      <c r="D1116" s="1"/>
      <c r="E1116" s="1"/>
      <c r="F1116" s="1"/>
      <c r="G1116" s="1"/>
      <c r="H1116" s="1"/>
      <c r="I1116" s="1"/>
      <c r="J1116" s="1"/>
      <c r="K1116" s="1"/>
      <c r="L1116" s="1"/>
      <c r="M1116" s="1"/>
      <c r="N1116" s="1"/>
      <c r="O1116" s="1"/>
    </row>
    <row r="1117" spans="2:15" x14ac:dyDescent="0.25">
      <c r="B1117" s="1"/>
      <c r="C1117" s="1"/>
      <c r="D1117" s="1"/>
      <c r="E1117" s="1"/>
      <c r="F1117" s="1"/>
      <c r="G1117" s="1"/>
      <c r="H1117" s="1"/>
      <c r="I1117" s="1"/>
      <c r="J1117" s="1"/>
      <c r="K1117" s="1"/>
      <c r="L1117" s="1"/>
      <c r="M1117" s="1"/>
      <c r="N1117" s="1"/>
      <c r="O1117" s="1"/>
    </row>
    <row r="1118" spans="2:15" x14ac:dyDescent="0.25">
      <c r="B1118" s="1"/>
      <c r="C1118" s="1"/>
      <c r="D1118" s="1"/>
      <c r="E1118" s="1"/>
      <c r="F1118" s="1"/>
      <c r="G1118" s="1"/>
      <c r="H1118" s="1"/>
      <c r="I1118" s="1"/>
      <c r="J1118" s="1"/>
      <c r="K1118" s="1"/>
      <c r="L1118" s="1"/>
      <c r="M1118" s="1"/>
      <c r="N1118" s="1"/>
      <c r="O1118" s="1"/>
    </row>
    <row r="1119" spans="2:15" x14ac:dyDescent="0.25">
      <c r="B1119" s="1"/>
      <c r="C1119" s="1"/>
      <c r="D1119" s="1"/>
      <c r="E1119" s="1"/>
      <c r="F1119" s="1"/>
      <c r="G1119" s="1"/>
      <c r="H1119" s="1"/>
      <c r="I1119" s="1"/>
      <c r="J1119" s="1"/>
      <c r="K1119" s="1"/>
      <c r="L1119" s="1"/>
      <c r="M1119" s="1"/>
      <c r="N1119" s="1"/>
      <c r="O1119" s="1"/>
    </row>
    <row r="1120" spans="2:15" x14ac:dyDescent="0.25">
      <c r="B1120" s="1"/>
      <c r="C1120" s="1"/>
      <c r="D1120" s="1"/>
      <c r="E1120" s="1"/>
      <c r="F1120" s="1"/>
      <c r="G1120" s="1"/>
      <c r="H1120" s="1"/>
      <c r="I1120" s="1"/>
      <c r="J1120" s="1"/>
      <c r="K1120" s="1"/>
      <c r="L1120" s="1"/>
      <c r="M1120" s="1"/>
      <c r="N1120" s="1"/>
      <c r="O1120" s="1"/>
    </row>
    <row r="1121" spans="2:15" x14ac:dyDescent="0.25">
      <c r="B1121" s="1"/>
      <c r="C1121" s="1"/>
      <c r="D1121" s="1"/>
      <c r="E1121" s="1"/>
      <c r="F1121" s="1"/>
      <c r="G1121" s="1"/>
      <c r="H1121" s="1"/>
      <c r="I1121" s="1"/>
      <c r="J1121" s="1"/>
      <c r="K1121" s="1"/>
      <c r="L1121" s="1"/>
      <c r="M1121" s="1"/>
      <c r="N1121" s="1"/>
      <c r="O1121" s="1"/>
    </row>
    <row r="1122" spans="2:15" x14ac:dyDescent="0.25">
      <c r="B1122" s="1"/>
      <c r="C1122" s="1"/>
      <c r="D1122" s="1"/>
      <c r="E1122" s="1"/>
      <c r="F1122" s="1"/>
      <c r="G1122" s="1"/>
      <c r="H1122" s="1"/>
      <c r="I1122" s="1"/>
      <c r="J1122" s="1"/>
      <c r="K1122" s="1"/>
      <c r="L1122" s="1"/>
      <c r="M1122" s="1"/>
      <c r="N1122" s="1"/>
      <c r="O1122" s="1"/>
    </row>
    <row r="1123" spans="2:15" x14ac:dyDescent="0.25">
      <c r="B1123" s="1"/>
      <c r="C1123" s="1"/>
      <c r="D1123" s="1"/>
      <c r="E1123" s="1"/>
      <c r="F1123" s="1"/>
      <c r="G1123" s="1"/>
      <c r="H1123" s="1"/>
      <c r="I1123" s="1"/>
      <c r="J1123" s="1"/>
      <c r="K1123" s="1"/>
      <c r="L1123" s="1"/>
      <c r="M1123" s="1"/>
      <c r="N1123" s="1"/>
      <c r="O1123" s="1"/>
    </row>
    <row r="1124" spans="2:15" x14ac:dyDescent="0.25">
      <c r="B1124" s="1"/>
      <c r="C1124" s="1"/>
      <c r="D1124" s="1"/>
      <c r="E1124" s="1"/>
      <c r="F1124" s="1"/>
      <c r="G1124" s="1"/>
      <c r="H1124" s="1"/>
      <c r="I1124" s="1"/>
      <c r="J1124" s="1"/>
      <c r="K1124" s="1"/>
      <c r="L1124" s="1"/>
      <c r="M1124" s="1"/>
      <c r="N1124" s="1"/>
      <c r="O1124" s="1"/>
    </row>
    <row r="1125" spans="2:15" x14ac:dyDescent="0.25">
      <c r="B1125" s="1"/>
      <c r="C1125" s="1"/>
      <c r="D1125" s="1"/>
      <c r="E1125" s="1"/>
      <c r="F1125" s="1"/>
      <c r="G1125" s="1"/>
      <c r="H1125" s="1"/>
      <c r="I1125" s="1"/>
      <c r="J1125" s="1"/>
      <c r="K1125" s="1"/>
      <c r="L1125" s="1"/>
      <c r="M1125" s="1"/>
      <c r="N1125" s="1"/>
      <c r="O1125" s="1"/>
    </row>
    <row r="1126" spans="2:15" x14ac:dyDescent="0.25">
      <c r="B1126" s="1"/>
      <c r="C1126" s="1"/>
      <c r="D1126" s="1"/>
      <c r="E1126" s="1"/>
      <c r="F1126" s="1"/>
      <c r="G1126" s="1"/>
      <c r="H1126" s="1"/>
      <c r="I1126" s="1"/>
      <c r="J1126" s="1"/>
      <c r="K1126" s="1"/>
      <c r="L1126" s="1"/>
      <c r="M1126" s="1"/>
      <c r="N1126" s="1"/>
      <c r="O1126" s="1"/>
    </row>
    <row r="1127" spans="2:15" x14ac:dyDescent="0.25">
      <c r="B1127" s="1"/>
      <c r="C1127" s="1"/>
      <c r="D1127" s="1"/>
      <c r="E1127" s="1"/>
      <c r="F1127" s="1"/>
      <c r="G1127" s="1"/>
      <c r="H1127" s="1"/>
      <c r="I1127" s="1"/>
      <c r="J1127" s="1"/>
      <c r="K1127" s="1"/>
      <c r="L1127" s="1"/>
      <c r="M1127" s="1"/>
      <c r="N1127" s="1"/>
      <c r="O1127" s="1"/>
    </row>
    <row r="1128" spans="2:15" x14ac:dyDescent="0.25">
      <c r="B1128" s="1"/>
      <c r="C1128" s="1"/>
      <c r="D1128" s="1"/>
      <c r="E1128" s="1"/>
      <c r="F1128" s="1"/>
      <c r="G1128" s="1"/>
      <c r="H1128" s="1"/>
      <c r="I1128" s="1"/>
      <c r="J1128" s="1"/>
      <c r="K1128" s="1"/>
      <c r="L1128" s="1"/>
      <c r="M1128" s="1"/>
      <c r="N1128" s="1"/>
      <c r="O1128" s="1"/>
    </row>
    <row r="1129" spans="2:15" x14ac:dyDescent="0.25">
      <c r="B1129" s="1"/>
      <c r="C1129" s="1"/>
      <c r="D1129" s="1"/>
      <c r="E1129" s="1"/>
      <c r="F1129" s="1"/>
      <c r="G1129" s="1"/>
      <c r="H1129" s="1"/>
      <c r="I1129" s="1"/>
      <c r="J1129" s="1"/>
      <c r="K1129" s="1"/>
      <c r="L1129" s="1"/>
      <c r="M1129" s="1"/>
      <c r="N1129" s="1"/>
      <c r="O1129" s="1"/>
    </row>
    <row r="1130" spans="2:15" x14ac:dyDescent="0.25">
      <c r="B1130" s="1"/>
      <c r="C1130" s="1"/>
      <c r="D1130" s="1"/>
      <c r="E1130" s="1"/>
      <c r="F1130" s="1"/>
      <c r="G1130" s="1"/>
      <c r="H1130" s="1"/>
      <c r="I1130" s="1"/>
      <c r="J1130" s="1"/>
      <c r="K1130" s="1"/>
      <c r="L1130" s="1"/>
      <c r="M1130" s="1"/>
      <c r="N1130" s="1"/>
      <c r="O1130" s="1"/>
    </row>
    <row r="1131" spans="2:15" x14ac:dyDescent="0.25">
      <c r="B1131" s="1"/>
      <c r="C1131" s="1"/>
      <c r="D1131" s="1"/>
      <c r="E1131" s="1"/>
      <c r="F1131" s="1"/>
      <c r="G1131" s="1"/>
      <c r="H1131" s="1"/>
      <c r="I1131" s="1"/>
      <c r="J1131" s="1"/>
      <c r="K1131" s="1"/>
      <c r="L1131" s="1"/>
      <c r="M1131" s="1"/>
      <c r="N1131" s="1"/>
      <c r="O1131" s="1"/>
    </row>
    <row r="1132" spans="2:15" x14ac:dyDescent="0.25">
      <c r="B1132" s="1"/>
      <c r="C1132" s="1"/>
      <c r="D1132" s="1"/>
      <c r="E1132" s="1"/>
      <c r="F1132" s="1"/>
      <c r="G1132" s="1"/>
      <c r="H1132" s="1"/>
      <c r="I1132" s="1"/>
      <c r="J1132" s="1"/>
      <c r="K1132" s="1"/>
      <c r="L1132" s="1"/>
      <c r="M1132" s="1"/>
      <c r="N1132" s="1"/>
      <c r="O1132" s="1"/>
    </row>
    <row r="1133" spans="2:15" x14ac:dyDescent="0.25">
      <c r="B1133" s="1"/>
      <c r="C1133" s="1"/>
      <c r="D1133" s="1"/>
      <c r="E1133" s="1"/>
      <c r="F1133" s="1"/>
      <c r="G1133" s="1"/>
      <c r="H1133" s="1"/>
      <c r="I1133" s="1"/>
      <c r="J1133" s="1"/>
      <c r="K1133" s="1"/>
      <c r="L1133" s="1"/>
      <c r="M1133" s="1"/>
      <c r="N1133" s="1"/>
      <c r="O1133" s="1"/>
    </row>
    <row r="1134" spans="2:15" x14ac:dyDescent="0.25">
      <c r="B1134" s="1"/>
      <c r="C1134" s="1"/>
      <c r="D1134" s="1"/>
      <c r="E1134" s="1"/>
      <c r="F1134" s="1"/>
      <c r="G1134" s="1"/>
      <c r="H1134" s="1"/>
      <c r="I1134" s="1"/>
      <c r="J1134" s="1"/>
      <c r="K1134" s="1"/>
      <c r="L1134" s="1"/>
      <c r="M1134" s="1"/>
      <c r="N1134" s="1"/>
      <c r="O1134" s="1"/>
    </row>
    <row r="1135" spans="2:15" x14ac:dyDescent="0.25">
      <c r="B1135" s="1"/>
      <c r="C1135" s="1"/>
      <c r="D1135" s="1"/>
      <c r="E1135" s="1"/>
      <c r="F1135" s="1"/>
      <c r="G1135" s="1"/>
      <c r="H1135" s="1"/>
      <c r="I1135" s="1"/>
      <c r="J1135" s="1"/>
      <c r="K1135" s="1"/>
      <c r="L1135" s="1"/>
      <c r="M1135" s="1"/>
      <c r="N1135" s="1"/>
      <c r="O1135" s="1"/>
    </row>
    <row r="1136" spans="2:15" x14ac:dyDescent="0.25">
      <c r="B1136" s="1"/>
      <c r="C1136" s="1"/>
      <c r="D1136" s="1"/>
      <c r="E1136" s="1"/>
      <c r="F1136" s="1"/>
      <c r="G1136" s="1"/>
      <c r="H1136" s="1"/>
      <c r="I1136" s="1"/>
      <c r="J1136" s="1"/>
      <c r="K1136" s="1"/>
      <c r="L1136" s="1"/>
      <c r="M1136" s="1"/>
      <c r="N1136" s="1"/>
      <c r="O1136" s="1"/>
    </row>
    <row r="1137" spans="2:15" x14ac:dyDescent="0.25">
      <c r="B1137" s="1"/>
      <c r="C1137" s="1"/>
      <c r="D1137" s="1"/>
      <c r="E1137" s="1"/>
      <c r="F1137" s="1"/>
      <c r="G1137" s="1"/>
      <c r="H1137" s="1"/>
      <c r="I1137" s="1"/>
      <c r="J1137" s="1"/>
      <c r="K1137" s="1"/>
      <c r="L1137" s="1"/>
      <c r="M1137" s="1"/>
      <c r="N1137" s="1"/>
      <c r="O1137" s="1"/>
    </row>
    <row r="1138" spans="2:15" x14ac:dyDescent="0.25">
      <c r="B1138" s="1"/>
      <c r="C1138" s="1"/>
      <c r="D1138" s="1"/>
      <c r="E1138" s="1"/>
      <c r="F1138" s="1"/>
      <c r="G1138" s="1"/>
      <c r="H1138" s="1"/>
      <c r="I1138" s="1"/>
      <c r="J1138" s="1"/>
      <c r="K1138" s="1"/>
      <c r="L1138" s="1"/>
      <c r="M1138" s="1"/>
      <c r="N1138" s="1"/>
      <c r="O1138" s="1"/>
    </row>
    <row r="1139" spans="2:15" x14ac:dyDescent="0.25">
      <c r="B1139" s="1"/>
      <c r="C1139" s="1"/>
      <c r="D1139" s="1"/>
      <c r="E1139" s="1"/>
      <c r="F1139" s="1"/>
      <c r="G1139" s="1"/>
      <c r="H1139" s="1"/>
      <c r="I1139" s="1"/>
      <c r="J1139" s="1"/>
      <c r="K1139" s="1"/>
      <c r="L1139" s="1"/>
      <c r="M1139" s="1"/>
      <c r="N1139" s="1"/>
      <c r="O1139" s="1"/>
    </row>
    <row r="1140" spans="2:15" x14ac:dyDescent="0.25">
      <c r="B1140" s="1"/>
      <c r="C1140" s="1"/>
      <c r="D1140" s="1"/>
      <c r="E1140" s="1"/>
      <c r="F1140" s="1"/>
      <c r="G1140" s="1"/>
      <c r="H1140" s="1"/>
      <c r="I1140" s="1"/>
      <c r="J1140" s="1"/>
      <c r="K1140" s="1"/>
      <c r="L1140" s="1"/>
      <c r="M1140" s="1"/>
      <c r="N1140" s="1"/>
      <c r="O1140" s="1"/>
    </row>
    <row r="1141" spans="2:15" x14ac:dyDescent="0.25">
      <c r="B1141" s="1"/>
      <c r="C1141" s="1"/>
      <c r="D1141" s="1"/>
      <c r="E1141" s="1"/>
      <c r="F1141" s="1"/>
      <c r="G1141" s="1"/>
      <c r="H1141" s="1"/>
      <c r="I1141" s="1"/>
      <c r="J1141" s="1"/>
      <c r="K1141" s="1"/>
      <c r="L1141" s="1"/>
      <c r="M1141" s="1"/>
      <c r="N1141" s="1"/>
      <c r="O1141" s="1"/>
    </row>
    <row r="1142" spans="2:15" x14ac:dyDescent="0.25">
      <c r="B1142" s="1"/>
      <c r="C1142" s="1"/>
      <c r="D1142" s="1"/>
      <c r="E1142" s="1"/>
      <c r="F1142" s="1"/>
      <c r="G1142" s="1"/>
      <c r="H1142" s="1"/>
      <c r="I1142" s="1"/>
      <c r="J1142" s="1"/>
      <c r="K1142" s="1"/>
      <c r="L1142" s="1"/>
      <c r="M1142" s="1"/>
      <c r="N1142" s="1"/>
      <c r="O1142" s="1"/>
    </row>
    <row r="1143" spans="2:15" x14ac:dyDescent="0.25">
      <c r="B1143" s="1"/>
      <c r="C1143" s="1"/>
      <c r="D1143" s="1"/>
      <c r="E1143" s="1"/>
      <c r="F1143" s="1"/>
      <c r="G1143" s="1"/>
      <c r="H1143" s="1"/>
      <c r="I1143" s="1"/>
      <c r="J1143" s="1"/>
      <c r="K1143" s="1"/>
      <c r="L1143" s="1"/>
      <c r="M1143" s="1"/>
      <c r="N1143" s="1"/>
      <c r="O1143" s="1"/>
    </row>
    <row r="1144" spans="2:15" x14ac:dyDescent="0.25">
      <c r="B1144" s="1"/>
      <c r="C1144" s="1"/>
      <c r="D1144" s="1"/>
      <c r="E1144" s="1"/>
      <c r="F1144" s="1"/>
      <c r="G1144" s="1"/>
      <c r="H1144" s="1"/>
      <c r="I1144" s="1"/>
      <c r="J1144" s="1"/>
      <c r="K1144" s="1"/>
      <c r="L1144" s="1"/>
      <c r="M1144" s="1"/>
      <c r="N1144" s="1"/>
      <c r="O1144" s="1"/>
    </row>
    <row r="1145" spans="2:15" x14ac:dyDescent="0.25">
      <c r="B1145" s="1"/>
      <c r="C1145" s="1"/>
      <c r="D1145" s="1"/>
      <c r="E1145" s="1"/>
      <c r="F1145" s="1"/>
      <c r="G1145" s="1"/>
      <c r="H1145" s="1"/>
      <c r="I1145" s="1"/>
      <c r="J1145" s="1"/>
      <c r="K1145" s="1"/>
      <c r="L1145" s="1"/>
      <c r="M1145" s="1"/>
      <c r="N1145" s="1"/>
      <c r="O1145" s="1"/>
    </row>
    <row r="1146" spans="2:15" x14ac:dyDescent="0.25">
      <c r="B1146" s="1"/>
      <c r="C1146" s="1"/>
      <c r="D1146" s="1"/>
      <c r="E1146" s="1"/>
      <c r="F1146" s="1"/>
      <c r="G1146" s="1"/>
      <c r="H1146" s="1"/>
      <c r="I1146" s="1"/>
      <c r="J1146" s="1"/>
      <c r="K1146" s="1"/>
      <c r="L1146" s="1"/>
      <c r="M1146" s="1"/>
      <c r="N1146" s="1"/>
      <c r="O1146" s="1"/>
    </row>
    <row r="1147" spans="2:15" x14ac:dyDescent="0.25">
      <c r="B1147" s="1"/>
      <c r="C1147" s="1"/>
      <c r="D1147" s="1"/>
      <c r="E1147" s="1"/>
      <c r="F1147" s="1"/>
      <c r="G1147" s="1"/>
      <c r="H1147" s="1"/>
      <c r="I1147" s="1"/>
      <c r="J1147" s="1"/>
      <c r="K1147" s="1"/>
      <c r="L1147" s="1"/>
      <c r="M1147" s="1"/>
      <c r="N1147" s="1"/>
      <c r="O1147" s="1"/>
    </row>
    <row r="1148" spans="2:15" x14ac:dyDescent="0.25">
      <c r="B1148" s="1"/>
      <c r="C1148" s="1"/>
      <c r="D1148" s="1"/>
      <c r="E1148" s="1"/>
      <c r="F1148" s="1"/>
      <c r="G1148" s="1"/>
      <c r="H1148" s="1"/>
      <c r="I1148" s="1"/>
      <c r="J1148" s="1"/>
      <c r="K1148" s="1"/>
      <c r="L1148" s="1"/>
      <c r="M1148" s="1"/>
      <c r="N1148" s="1"/>
      <c r="O1148" s="1"/>
    </row>
    <row r="1149" spans="2:15" x14ac:dyDescent="0.25">
      <c r="B1149" s="1"/>
      <c r="C1149" s="1"/>
      <c r="D1149" s="1"/>
      <c r="E1149" s="1"/>
      <c r="F1149" s="1"/>
      <c r="G1149" s="1"/>
      <c r="H1149" s="1"/>
      <c r="I1149" s="1"/>
      <c r="J1149" s="1"/>
      <c r="K1149" s="1"/>
      <c r="L1149" s="1"/>
      <c r="M1149" s="1"/>
      <c r="N1149" s="1"/>
      <c r="O1149" s="1"/>
    </row>
    <row r="1150" spans="2:15" x14ac:dyDescent="0.25">
      <c r="B1150" s="1"/>
      <c r="C1150" s="1"/>
      <c r="D1150" s="1"/>
      <c r="E1150" s="1"/>
      <c r="F1150" s="1"/>
      <c r="G1150" s="1"/>
      <c r="H1150" s="1"/>
      <c r="I1150" s="1"/>
      <c r="J1150" s="1"/>
      <c r="K1150" s="1"/>
      <c r="L1150" s="1"/>
      <c r="M1150" s="1"/>
      <c r="N1150" s="1"/>
      <c r="O1150" s="1"/>
    </row>
    <row r="1151" spans="2:15" x14ac:dyDescent="0.25">
      <c r="B1151" s="1"/>
      <c r="C1151" s="1"/>
      <c r="D1151" s="1"/>
      <c r="E1151" s="1"/>
      <c r="F1151" s="1"/>
      <c r="G1151" s="1"/>
      <c r="H1151" s="1"/>
      <c r="I1151" s="1"/>
      <c r="J1151" s="1"/>
      <c r="K1151" s="1"/>
      <c r="L1151" s="1"/>
      <c r="M1151" s="1"/>
      <c r="N1151" s="1"/>
      <c r="O1151" s="1"/>
    </row>
    <row r="1152" spans="2:15" x14ac:dyDescent="0.25">
      <c r="B1152" s="1"/>
      <c r="C1152" s="1"/>
      <c r="D1152" s="1"/>
      <c r="E1152" s="1"/>
      <c r="F1152" s="1"/>
      <c r="G1152" s="1"/>
      <c r="H1152" s="1"/>
      <c r="I1152" s="1"/>
      <c r="J1152" s="1"/>
      <c r="K1152" s="1"/>
      <c r="L1152" s="1"/>
      <c r="M1152" s="1"/>
      <c r="N1152" s="1"/>
      <c r="O1152" s="1"/>
    </row>
    <row r="1153" spans="2:15" x14ac:dyDescent="0.25">
      <c r="B1153" s="1"/>
      <c r="C1153" s="1"/>
      <c r="D1153" s="1"/>
      <c r="E1153" s="1"/>
      <c r="F1153" s="1"/>
      <c r="G1153" s="1"/>
      <c r="H1153" s="1"/>
      <c r="I1153" s="1"/>
      <c r="J1153" s="1"/>
      <c r="K1153" s="1"/>
      <c r="L1153" s="1"/>
      <c r="M1153" s="1"/>
      <c r="N1153" s="1"/>
      <c r="O1153" s="1"/>
    </row>
    <row r="1154" spans="2:15" x14ac:dyDescent="0.25">
      <c r="B1154" s="1"/>
      <c r="C1154" s="1"/>
      <c r="D1154" s="1"/>
      <c r="E1154" s="1"/>
      <c r="F1154" s="1"/>
      <c r="G1154" s="1"/>
      <c r="H1154" s="1"/>
      <c r="I1154" s="1"/>
      <c r="J1154" s="1"/>
      <c r="K1154" s="1"/>
      <c r="L1154" s="1"/>
      <c r="M1154" s="1"/>
      <c r="N1154" s="1"/>
      <c r="O1154" s="1"/>
    </row>
    <row r="1155" spans="2:15" x14ac:dyDescent="0.25">
      <c r="B1155" s="1"/>
      <c r="C1155" s="1"/>
      <c r="D1155" s="1"/>
      <c r="E1155" s="1"/>
      <c r="F1155" s="1"/>
      <c r="G1155" s="1"/>
      <c r="H1155" s="1"/>
      <c r="I1155" s="1"/>
      <c r="J1155" s="1"/>
      <c r="K1155" s="1"/>
      <c r="L1155" s="1"/>
      <c r="M1155" s="1"/>
      <c r="N1155" s="1"/>
      <c r="O1155" s="1"/>
    </row>
    <row r="1156" spans="2:15" x14ac:dyDescent="0.25">
      <c r="B1156" s="1"/>
      <c r="C1156" s="1"/>
      <c r="D1156" s="1"/>
      <c r="E1156" s="1"/>
      <c r="F1156" s="1"/>
      <c r="G1156" s="1"/>
      <c r="H1156" s="1"/>
      <c r="I1156" s="1"/>
      <c r="J1156" s="1"/>
      <c r="K1156" s="1"/>
      <c r="L1156" s="1"/>
      <c r="M1156" s="1"/>
      <c r="N1156" s="1"/>
      <c r="O1156" s="1"/>
    </row>
    <row r="1157" spans="2:15" x14ac:dyDescent="0.25">
      <c r="B1157" s="1"/>
      <c r="C1157" s="1"/>
      <c r="D1157" s="1"/>
      <c r="E1157" s="1"/>
      <c r="F1157" s="1"/>
      <c r="G1157" s="1"/>
      <c r="H1157" s="1"/>
      <c r="I1157" s="1"/>
      <c r="J1157" s="1"/>
      <c r="K1157" s="1"/>
      <c r="L1157" s="1"/>
      <c r="M1157" s="1"/>
      <c r="N1157" s="1"/>
      <c r="O1157" s="1"/>
    </row>
    <row r="1158" spans="2:15" x14ac:dyDescent="0.25">
      <c r="B1158" s="1"/>
      <c r="C1158" s="1"/>
      <c r="D1158" s="1"/>
      <c r="E1158" s="1"/>
      <c r="F1158" s="1"/>
      <c r="G1158" s="1"/>
      <c r="H1158" s="1"/>
      <c r="I1158" s="1"/>
      <c r="J1158" s="1"/>
      <c r="K1158" s="1"/>
      <c r="L1158" s="1"/>
      <c r="M1158" s="1"/>
      <c r="N1158" s="1"/>
      <c r="O1158" s="1"/>
    </row>
    <row r="1159" spans="2:15" x14ac:dyDescent="0.25">
      <c r="B1159" s="1"/>
      <c r="C1159" s="1"/>
      <c r="D1159" s="1"/>
      <c r="E1159" s="1"/>
      <c r="F1159" s="1"/>
      <c r="G1159" s="1"/>
      <c r="H1159" s="1"/>
      <c r="I1159" s="1"/>
      <c r="J1159" s="1"/>
      <c r="K1159" s="1"/>
      <c r="L1159" s="1"/>
      <c r="M1159" s="1"/>
      <c r="N1159" s="1"/>
      <c r="O1159" s="1"/>
    </row>
    <row r="1160" spans="2:15" x14ac:dyDescent="0.25">
      <c r="B1160" s="1"/>
      <c r="C1160" s="1"/>
      <c r="D1160" s="1"/>
      <c r="E1160" s="1"/>
      <c r="F1160" s="1"/>
      <c r="G1160" s="1"/>
      <c r="H1160" s="1"/>
      <c r="I1160" s="1"/>
      <c r="J1160" s="1"/>
      <c r="K1160" s="1"/>
      <c r="L1160" s="1"/>
      <c r="M1160" s="1"/>
      <c r="N1160" s="1"/>
      <c r="O1160" s="1"/>
    </row>
    <row r="1161" spans="2:15" x14ac:dyDescent="0.25">
      <c r="B1161" s="1"/>
      <c r="C1161" s="1"/>
      <c r="D1161" s="1"/>
      <c r="E1161" s="1"/>
      <c r="F1161" s="1"/>
      <c r="G1161" s="1"/>
      <c r="H1161" s="1"/>
      <c r="I1161" s="1"/>
      <c r="J1161" s="1"/>
      <c r="K1161" s="1"/>
      <c r="L1161" s="1"/>
      <c r="M1161" s="1"/>
      <c r="N1161" s="1"/>
      <c r="O1161" s="1"/>
    </row>
    <row r="1162" spans="2:15" x14ac:dyDescent="0.25">
      <c r="B1162" s="1"/>
      <c r="C1162" s="1"/>
      <c r="D1162" s="1"/>
      <c r="E1162" s="1"/>
      <c r="F1162" s="1"/>
      <c r="G1162" s="1"/>
      <c r="H1162" s="1"/>
      <c r="I1162" s="1"/>
      <c r="J1162" s="1"/>
      <c r="K1162" s="1"/>
      <c r="L1162" s="1"/>
      <c r="M1162" s="1"/>
      <c r="N1162" s="1"/>
      <c r="O1162" s="1"/>
    </row>
    <row r="1163" spans="2:15" x14ac:dyDescent="0.25">
      <c r="B1163" s="1"/>
      <c r="C1163" s="1"/>
      <c r="D1163" s="1"/>
      <c r="E1163" s="1"/>
      <c r="F1163" s="1"/>
      <c r="G1163" s="1"/>
      <c r="H1163" s="1"/>
      <c r="I1163" s="1"/>
      <c r="J1163" s="1"/>
      <c r="K1163" s="1"/>
      <c r="L1163" s="1"/>
      <c r="M1163" s="1"/>
      <c r="N1163" s="1"/>
      <c r="O1163" s="1"/>
    </row>
    <row r="1164" spans="2:15" x14ac:dyDescent="0.25">
      <c r="B1164" s="1"/>
      <c r="C1164" s="1"/>
      <c r="D1164" s="1"/>
      <c r="E1164" s="1"/>
      <c r="F1164" s="1"/>
      <c r="G1164" s="1"/>
      <c r="H1164" s="1"/>
      <c r="I1164" s="1"/>
      <c r="J1164" s="1"/>
      <c r="K1164" s="1"/>
      <c r="L1164" s="1"/>
      <c r="M1164" s="1"/>
      <c r="N1164" s="1"/>
      <c r="O1164" s="1"/>
    </row>
    <row r="1165" spans="2:15" x14ac:dyDescent="0.25">
      <c r="B1165" s="1"/>
      <c r="C1165" s="1"/>
      <c r="D1165" s="1"/>
      <c r="E1165" s="1"/>
      <c r="F1165" s="1"/>
      <c r="G1165" s="1"/>
      <c r="H1165" s="1"/>
      <c r="I1165" s="1"/>
      <c r="J1165" s="1"/>
      <c r="K1165" s="1"/>
      <c r="L1165" s="1"/>
      <c r="M1165" s="1"/>
      <c r="N1165" s="1"/>
      <c r="O1165" s="1"/>
    </row>
    <row r="1166" spans="2:15" x14ac:dyDescent="0.25">
      <c r="B1166" s="1"/>
      <c r="C1166" s="1"/>
      <c r="D1166" s="1"/>
      <c r="E1166" s="1"/>
      <c r="F1166" s="1"/>
      <c r="G1166" s="1"/>
      <c r="H1166" s="1"/>
      <c r="I1166" s="1"/>
      <c r="J1166" s="1"/>
      <c r="K1166" s="1"/>
      <c r="L1166" s="1"/>
      <c r="M1166" s="1"/>
      <c r="N1166" s="1"/>
      <c r="O1166" s="1"/>
    </row>
    <row r="1167" spans="2:15" x14ac:dyDescent="0.25">
      <c r="B1167" s="1"/>
      <c r="C1167" s="1"/>
      <c r="D1167" s="1"/>
      <c r="E1167" s="1"/>
      <c r="F1167" s="1"/>
      <c r="G1167" s="1"/>
      <c r="H1167" s="1"/>
      <c r="I1167" s="1"/>
      <c r="J1167" s="1"/>
      <c r="K1167" s="1"/>
      <c r="L1167" s="1"/>
      <c r="M1167" s="1"/>
      <c r="N1167" s="1"/>
      <c r="O1167" s="1"/>
    </row>
    <row r="1168" spans="2:15" x14ac:dyDescent="0.25">
      <c r="B1168" s="1"/>
      <c r="C1168" s="1"/>
      <c r="D1168" s="1"/>
      <c r="E1168" s="1"/>
      <c r="F1168" s="1"/>
      <c r="G1168" s="1"/>
      <c r="H1168" s="1"/>
      <c r="I1168" s="1"/>
      <c r="J1168" s="1"/>
      <c r="K1168" s="1"/>
      <c r="L1168" s="1"/>
      <c r="M1168" s="1"/>
      <c r="N1168" s="1"/>
      <c r="O1168" s="1"/>
    </row>
    <row r="1169" spans="2:15" x14ac:dyDescent="0.25">
      <c r="B1169" s="1"/>
      <c r="C1169" s="1"/>
      <c r="D1169" s="1"/>
      <c r="E1169" s="1"/>
      <c r="F1169" s="1"/>
      <c r="G1169" s="1"/>
      <c r="H1169" s="1"/>
      <c r="I1169" s="1"/>
      <c r="J1169" s="1"/>
      <c r="K1169" s="1"/>
      <c r="L1169" s="1"/>
      <c r="M1169" s="1"/>
      <c r="N1169" s="1"/>
      <c r="O1169" s="1"/>
    </row>
    <row r="1170" spans="2:15" x14ac:dyDescent="0.25">
      <c r="B1170" s="1"/>
      <c r="C1170" s="1"/>
      <c r="D1170" s="1"/>
      <c r="E1170" s="1"/>
      <c r="F1170" s="1"/>
      <c r="G1170" s="1"/>
      <c r="H1170" s="1"/>
      <c r="I1170" s="1"/>
      <c r="J1170" s="1"/>
      <c r="K1170" s="1"/>
      <c r="L1170" s="1"/>
      <c r="M1170" s="1"/>
      <c r="N1170" s="1"/>
      <c r="O1170" s="1"/>
    </row>
    <row r="1171" spans="2:15" x14ac:dyDescent="0.25">
      <c r="B1171" s="1"/>
      <c r="C1171" s="1"/>
      <c r="D1171" s="1"/>
      <c r="E1171" s="1"/>
      <c r="F1171" s="1"/>
      <c r="G1171" s="1"/>
      <c r="H1171" s="1"/>
      <c r="I1171" s="1"/>
      <c r="J1171" s="1"/>
      <c r="K1171" s="1"/>
      <c r="L1171" s="1"/>
      <c r="M1171" s="1"/>
      <c r="N1171" s="1"/>
      <c r="O1171" s="1"/>
    </row>
    <row r="1172" spans="2:15" x14ac:dyDescent="0.25">
      <c r="B1172" s="1"/>
      <c r="C1172" s="1"/>
      <c r="D1172" s="1"/>
      <c r="E1172" s="1"/>
      <c r="F1172" s="1"/>
      <c r="G1172" s="1"/>
      <c r="H1172" s="1"/>
      <c r="I1172" s="1"/>
      <c r="J1172" s="1"/>
      <c r="K1172" s="1"/>
      <c r="L1172" s="1"/>
      <c r="M1172" s="1"/>
      <c r="N1172" s="1"/>
      <c r="O1172" s="1"/>
    </row>
    <row r="1173" spans="2:15" x14ac:dyDescent="0.25">
      <c r="B1173" s="1"/>
      <c r="C1173" s="1"/>
      <c r="D1173" s="1"/>
      <c r="E1173" s="1"/>
      <c r="F1173" s="1"/>
      <c r="G1173" s="1"/>
      <c r="H1173" s="1"/>
      <c r="I1173" s="1"/>
      <c r="J1173" s="1"/>
      <c r="K1173" s="1"/>
      <c r="L1173" s="1"/>
      <c r="M1173" s="1"/>
      <c r="N1173" s="1"/>
      <c r="O1173" s="1"/>
    </row>
    <row r="1174" spans="2:15" x14ac:dyDescent="0.25">
      <c r="B1174" s="1"/>
      <c r="C1174" s="1"/>
      <c r="D1174" s="1"/>
      <c r="E1174" s="1"/>
      <c r="F1174" s="1"/>
      <c r="G1174" s="1"/>
      <c r="H1174" s="1"/>
      <c r="I1174" s="1"/>
      <c r="J1174" s="1"/>
      <c r="K1174" s="1"/>
      <c r="L1174" s="1"/>
      <c r="M1174" s="1"/>
      <c r="N1174" s="1"/>
      <c r="O1174" s="1"/>
    </row>
    <row r="1175" spans="2:15" x14ac:dyDescent="0.25">
      <c r="B1175" s="1"/>
      <c r="C1175" s="1"/>
      <c r="D1175" s="1"/>
      <c r="E1175" s="1"/>
      <c r="F1175" s="1"/>
      <c r="G1175" s="1"/>
      <c r="H1175" s="1"/>
      <c r="I1175" s="1"/>
      <c r="J1175" s="1"/>
      <c r="K1175" s="1"/>
      <c r="L1175" s="1"/>
      <c r="M1175" s="1"/>
      <c r="N1175" s="1"/>
      <c r="O1175" s="1"/>
    </row>
    <row r="1176" spans="2:15" x14ac:dyDescent="0.25">
      <c r="B1176" s="1"/>
      <c r="C1176" s="1"/>
      <c r="D1176" s="1"/>
      <c r="E1176" s="1"/>
      <c r="F1176" s="1"/>
      <c r="G1176" s="1"/>
      <c r="H1176" s="1"/>
      <c r="I1176" s="1"/>
      <c r="J1176" s="1"/>
      <c r="K1176" s="1"/>
      <c r="L1176" s="1"/>
      <c r="M1176" s="1"/>
      <c r="N1176" s="1"/>
      <c r="O1176" s="1"/>
    </row>
    <row r="1177" spans="2:15" x14ac:dyDescent="0.25">
      <c r="B1177" s="1"/>
      <c r="C1177" s="1"/>
      <c r="D1177" s="1"/>
      <c r="E1177" s="1"/>
      <c r="F1177" s="1"/>
      <c r="G1177" s="1"/>
      <c r="H1177" s="1"/>
      <c r="I1177" s="1"/>
      <c r="J1177" s="1"/>
      <c r="K1177" s="1"/>
      <c r="L1177" s="1"/>
      <c r="M1177" s="1"/>
      <c r="N1177" s="1"/>
      <c r="O1177" s="1"/>
    </row>
    <row r="1178" spans="2:15" x14ac:dyDescent="0.25">
      <c r="B1178" s="1"/>
      <c r="C1178" s="1"/>
      <c r="D1178" s="1"/>
      <c r="E1178" s="1"/>
      <c r="F1178" s="1"/>
      <c r="G1178" s="1"/>
      <c r="H1178" s="1"/>
      <c r="I1178" s="1"/>
      <c r="J1178" s="1"/>
      <c r="K1178" s="1"/>
      <c r="L1178" s="1"/>
      <c r="M1178" s="1"/>
      <c r="N1178" s="1"/>
      <c r="O1178" s="1"/>
    </row>
    <row r="1179" spans="2:15" x14ac:dyDescent="0.25">
      <c r="B1179" s="1"/>
      <c r="C1179" s="1"/>
      <c r="D1179" s="1"/>
      <c r="E1179" s="1"/>
      <c r="F1179" s="1"/>
      <c r="G1179" s="1"/>
      <c r="H1179" s="1"/>
      <c r="I1179" s="1"/>
      <c r="J1179" s="1"/>
      <c r="K1179" s="1"/>
      <c r="L1179" s="1"/>
      <c r="M1179" s="1"/>
      <c r="N1179" s="1"/>
      <c r="O1179" s="1"/>
    </row>
    <row r="1180" spans="2:15" x14ac:dyDescent="0.25">
      <c r="B1180" s="1"/>
      <c r="C1180" s="1"/>
      <c r="D1180" s="1"/>
      <c r="E1180" s="1"/>
      <c r="F1180" s="1"/>
      <c r="G1180" s="1"/>
      <c r="H1180" s="1"/>
      <c r="I1180" s="1"/>
      <c r="J1180" s="1"/>
      <c r="K1180" s="1"/>
      <c r="L1180" s="1"/>
      <c r="M1180" s="1"/>
      <c r="N1180" s="1"/>
      <c r="O1180" s="1"/>
    </row>
    <row r="1181" spans="2:15" x14ac:dyDescent="0.25">
      <c r="B1181" s="1"/>
      <c r="C1181" s="1"/>
      <c r="D1181" s="1"/>
      <c r="E1181" s="1"/>
      <c r="F1181" s="1"/>
      <c r="G1181" s="1"/>
      <c r="H1181" s="1"/>
      <c r="I1181" s="1"/>
      <c r="J1181" s="1"/>
      <c r="K1181" s="1"/>
      <c r="L1181" s="1"/>
      <c r="M1181" s="1"/>
      <c r="N1181" s="1"/>
      <c r="O1181" s="1"/>
    </row>
    <row r="1182" spans="2:15" x14ac:dyDescent="0.25">
      <c r="B1182" s="1"/>
      <c r="C1182" s="1"/>
      <c r="D1182" s="1"/>
      <c r="E1182" s="1"/>
      <c r="F1182" s="1"/>
      <c r="G1182" s="1"/>
      <c r="H1182" s="1"/>
      <c r="I1182" s="1"/>
      <c r="J1182" s="1"/>
      <c r="K1182" s="1"/>
      <c r="L1182" s="1"/>
      <c r="M1182" s="1"/>
      <c r="N1182" s="1"/>
      <c r="O1182" s="1"/>
    </row>
    <row r="1183" spans="2:15" x14ac:dyDescent="0.25">
      <c r="B1183" s="1"/>
      <c r="C1183" s="1"/>
      <c r="D1183" s="1"/>
      <c r="E1183" s="1"/>
      <c r="F1183" s="1"/>
      <c r="G1183" s="1"/>
      <c r="H1183" s="1"/>
      <c r="I1183" s="1"/>
      <c r="J1183" s="1"/>
      <c r="K1183" s="1"/>
      <c r="L1183" s="1"/>
      <c r="M1183" s="1"/>
      <c r="N1183" s="1"/>
      <c r="O1183" s="1"/>
    </row>
    <row r="1184" spans="2:15" x14ac:dyDescent="0.25">
      <c r="B1184" s="1"/>
      <c r="C1184" s="1"/>
      <c r="D1184" s="1"/>
      <c r="E1184" s="1"/>
      <c r="F1184" s="1"/>
      <c r="G1184" s="1"/>
      <c r="H1184" s="1"/>
      <c r="I1184" s="1"/>
      <c r="J1184" s="1"/>
      <c r="K1184" s="1"/>
      <c r="L1184" s="1"/>
      <c r="M1184" s="1"/>
      <c r="N1184" s="1"/>
      <c r="O1184" s="1"/>
    </row>
    <row r="1185" spans="2:15" x14ac:dyDescent="0.25">
      <c r="B1185" s="1"/>
      <c r="C1185" s="1"/>
      <c r="D1185" s="1"/>
      <c r="E1185" s="1"/>
      <c r="F1185" s="1"/>
      <c r="G1185" s="1"/>
      <c r="H1185" s="1"/>
      <c r="I1185" s="1"/>
      <c r="J1185" s="1"/>
      <c r="K1185" s="1"/>
      <c r="L1185" s="1"/>
      <c r="M1185" s="1"/>
      <c r="N1185" s="1"/>
      <c r="O1185" s="1"/>
    </row>
    <row r="1186" spans="2:15" x14ac:dyDescent="0.25">
      <c r="B1186" s="1"/>
      <c r="C1186" s="1"/>
      <c r="D1186" s="1"/>
      <c r="E1186" s="1"/>
      <c r="F1186" s="1"/>
      <c r="G1186" s="1"/>
      <c r="H1186" s="1"/>
      <c r="I1186" s="1"/>
      <c r="J1186" s="1"/>
      <c r="K1186" s="1"/>
      <c r="L1186" s="1"/>
      <c r="M1186" s="1"/>
      <c r="N1186" s="1"/>
      <c r="O1186" s="1"/>
    </row>
    <row r="1187" spans="2:15" x14ac:dyDescent="0.25">
      <c r="B1187" s="1"/>
      <c r="C1187" s="1"/>
      <c r="D1187" s="1"/>
      <c r="E1187" s="1"/>
      <c r="F1187" s="1"/>
      <c r="G1187" s="1"/>
      <c r="H1187" s="1"/>
      <c r="I1187" s="1"/>
      <c r="J1187" s="1"/>
      <c r="K1187" s="1"/>
      <c r="L1187" s="1"/>
      <c r="M1187" s="1"/>
      <c r="N1187" s="1"/>
      <c r="O1187" s="1"/>
    </row>
    <row r="1188" spans="2:15" x14ac:dyDescent="0.25">
      <c r="B1188" s="1"/>
      <c r="C1188" s="1"/>
      <c r="D1188" s="1"/>
      <c r="E1188" s="1"/>
      <c r="F1188" s="1"/>
      <c r="G1188" s="1"/>
      <c r="H1188" s="1"/>
      <c r="I1188" s="1"/>
      <c r="J1188" s="1"/>
      <c r="K1188" s="1"/>
      <c r="L1188" s="1"/>
      <c r="M1188" s="1"/>
      <c r="N1188" s="1"/>
      <c r="O1188" s="1"/>
    </row>
    <row r="1189" spans="2:15" x14ac:dyDescent="0.25">
      <c r="B1189" s="1"/>
      <c r="C1189" s="1"/>
      <c r="D1189" s="1"/>
      <c r="E1189" s="1"/>
      <c r="F1189" s="1"/>
      <c r="G1189" s="1"/>
      <c r="H1189" s="1"/>
      <c r="I1189" s="1"/>
      <c r="J1189" s="1"/>
      <c r="K1189" s="1"/>
      <c r="L1189" s="1"/>
      <c r="M1189" s="1"/>
      <c r="N1189" s="1"/>
      <c r="O1189" s="1"/>
    </row>
    <row r="1190" spans="2:15" x14ac:dyDescent="0.25">
      <c r="B1190" s="1"/>
      <c r="C1190" s="1"/>
      <c r="D1190" s="1"/>
      <c r="E1190" s="1"/>
      <c r="F1190" s="1"/>
      <c r="G1190" s="1"/>
      <c r="H1190" s="1"/>
      <c r="I1190" s="1"/>
      <c r="J1190" s="1"/>
      <c r="K1190" s="1"/>
      <c r="L1190" s="1"/>
      <c r="M1190" s="1"/>
      <c r="N1190" s="1"/>
      <c r="O1190" s="1"/>
    </row>
    <row r="1191" spans="2:15" x14ac:dyDescent="0.25">
      <c r="B1191" s="1"/>
      <c r="C1191" s="1"/>
      <c r="D1191" s="1"/>
      <c r="E1191" s="1"/>
      <c r="F1191" s="1"/>
      <c r="G1191" s="1"/>
      <c r="H1191" s="1"/>
      <c r="I1191" s="1"/>
      <c r="J1191" s="1"/>
      <c r="K1191" s="1"/>
      <c r="L1191" s="1"/>
      <c r="M1191" s="1"/>
      <c r="N1191" s="1"/>
      <c r="O1191" s="1"/>
    </row>
    <row r="1192" spans="2:15" x14ac:dyDescent="0.25">
      <c r="B1192" s="1"/>
      <c r="C1192" s="1"/>
      <c r="D1192" s="1"/>
      <c r="E1192" s="1"/>
      <c r="F1192" s="1"/>
      <c r="G1192" s="1"/>
      <c r="H1192" s="1"/>
      <c r="I1192" s="1"/>
      <c r="J1192" s="1"/>
      <c r="K1192" s="1"/>
      <c r="L1192" s="1"/>
      <c r="M1192" s="1"/>
      <c r="N1192" s="1"/>
      <c r="O1192" s="1"/>
    </row>
    <row r="1193" spans="2:15" x14ac:dyDescent="0.25">
      <c r="B1193" s="1"/>
      <c r="C1193" s="1"/>
      <c r="D1193" s="1"/>
      <c r="E1193" s="1"/>
      <c r="F1193" s="1"/>
      <c r="G1193" s="1"/>
      <c r="H1193" s="1"/>
      <c r="I1193" s="1"/>
      <c r="J1193" s="1"/>
      <c r="K1193" s="1"/>
      <c r="L1193" s="1"/>
      <c r="M1193" s="1"/>
      <c r="N1193" s="1"/>
      <c r="O1193" s="1"/>
    </row>
    <row r="1194" spans="2:15" x14ac:dyDescent="0.25">
      <c r="B1194" s="1"/>
      <c r="C1194" s="1"/>
      <c r="D1194" s="1"/>
      <c r="E1194" s="1"/>
      <c r="F1194" s="1"/>
      <c r="G1194" s="1"/>
      <c r="H1194" s="1"/>
      <c r="I1194" s="1"/>
      <c r="J1194" s="1"/>
      <c r="K1194" s="1"/>
      <c r="L1194" s="1"/>
      <c r="M1194" s="1"/>
      <c r="N1194" s="1"/>
      <c r="O1194" s="1"/>
    </row>
    <row r="1195" spans="2:15" x14ac:dyDescent="0.25">
      <c r="B1195" s="1"/>
      <c r="C1195" s="1"/>
      <c r="D1195" s="1"/>
      <c r="E1195" s="1"/>
      <c r="F1195" s="1"/>
      <c r="G1195" s="1"/>
      <c r="H1195" s="1"/>
      <c r="I1195" s="1"/>
      <c r="J1195" s="1"/>
      <c r="K1195" s="1"/>
      <c r="L1195" s="1"/>
      <c r="M1195" s="1"/>
      <c r="N1195" s="1"/>
      <c r="O1195" s="1"/>
    </row>
    <row r="1196" spans="2:15" x14ac:dyDescent="0.25">
      <c r="B1196" s="1"/>
      <c r="C1196" s="1"/>
      <c r="D1196" s="1"/>
      <c r="E1196" s="1"/>
      <c r="F1196" s="1"/>
      <c r="G1196" s="1"/>
      <c r="H1196" s="1"/>
      <c r="I1196" s="1"/>
      <c r="J1196" s="1"/>
      <c r="K1196" s="1"/>
      <c r="L1196" s="1"/>
      <c r="M1196" s="1"/>
      <c r="N1196" s="1"/>
      <c r="O1196" s="1"/>
    </row>
    <row r="1197" spans="2:15" x14ac:dyDescent="0.25">
      <c r="B1197" s="1"/>
      <c r="C1197" s="1"/>
      <c r="D1197" s="1"/>
      <c r="E1197" s="1"/>
      <c r="F1197" s="1"/>
      <c r="G1197" s="1"/>
      <c r="H1197" s="1"/>
      <c r="I1197" s="1"/>
      <c r="J1197" s="1"/>
      <c r="K1197" s="1"/>
      <c r="L1197" s="1"/>
      <c r="M1197" s="1"/>
      <c r="N1197" s="1"/>
      <c r="O1197" s="1"/>
    </row>
    <row r="1198" spans="2:15" x14ac:dyDescent="0.25">
      <c r="B1198" s="1"/>
      <c r="C1198" s="1"/>
      <c r="D1198" s="1"/>
      <c r="E1198" s="1"/>
      <c r="F1198" s="1"/>
      <c r="G1198" s="1"/>
      <c r="H1198" s="1"/>
      <c r="I1198" s="1"/>
      <c r="J1198" s="1"/>
      <c r="K1198" s="1"/>
      <c r="L1198" s="1"/>
      <c r="M1198" s="1"/>
      <c r="N1198" s="1"/>
      <c r="O1198" s="1"/>
    </row>
    <row r="1199" spans="2:15" x14ac:dyDescent="0.25">
      <c r="B1199" s="1"/>
      <c r="C1199" s="1"/>
      <c r="D1199" s="1"/>
      <c r="E1199" s="1"/>
      <c r="F1199" s="1"/>
      <c r="G1199" s="1"/>
      <c r="H1199" s="1"/>
      <c r="I1199" s="1"/>
      <c r="J1199" s="1"/>
      <c r="K1199" s="1"/>
      <c r="L1199" s="1"/>
      <c r="M1199" s="1"/>
      <c r="N1199" s="1"/>
      <c r="O1199" s="1"/>
    </row>
    <row r="1200" spans="2:15" x14ac:dyDescent="0.25">
      <c r="B1200" s="1"/>
      <c r="C1200" s="1"/>
      <c r="D1200" s="1"/>
      <c r="E1200" s="1"/>
      <c r="F1200" s="1"/>
      <c r="G1200" s="1"/>
      <c r="H1200" s="1"/>
      <c r="I1200" s="1"/>
      <c r="J1200" s="1"/>
      <c r="K1200" s="1"/>
      <c r="L1200" s="1"/>
      <c r="M1200" s="1"/>
      <c r="N1200" s="1"/>
      <c r="O1200" s="1"/>
    </row>
    <row r="1201" spans="2:15" x14ac:dyDescent="0.25">
      <c r="B1201" s="1"/>
      <c r="C1201" s="1"/>
      <c r="D1201" s="1"/>
      <c r="E1201" s="1"/>
      <c r="F1201" s="1"/>
      <c r="G1201" s="1"/>
      <c r="H1201" s="1"/>
      <c r="I1201" s="1"/>
      <c r="J1201" s="1"/>
      <c r="K1201" s="1"/>
      <c r="L1201" s="1"/>
      <c r="M1201" s="1"/>
      <c r="N1201" s="1"/>
      <c r="O1201" s="1"/>
    </row>
    <row r="1202" spans="2:15" x14ac:dyDescent="0.25">
      <c r="B1202" s="1"/>
      <c r="C1202" s="1"/>
      <c r="D1202" s="1"/>
      <c r="E1202" s="1"/>
      <c r="F1202" s="1"/>
      <c r="G1202" s="1"/>
      <c r="H1202" s="1"/>
      <c r="I1202" s="1"/>
      <c r="J1202" s="1"/>
      <c r="K1202" s="1"/>
      <c r="L1202" s="1"/>
      <c r="M1202" s="1"/>
      <c r="N1202" s="1"/>
      <c r="O1202" s="1"/>
    </row>
    <row r="1203" spans="2:15" x14ac:dyDescent="0.25">
      <c r="B1203" s="1"/>
      <c r="C1203" s="1"/>
      <c r="D1203" s="1"/>
      <c r="E1203" s="1"/>
      <c r="F1203" s="1"/>
      <c r="G1203" s="1"/>
      <c r="H1203" s="1"/>
      <c r="I1203" s="1"/>
      <c r="J1203" s="1"/>
      <c r="K1203" s="1"/>
      <c r="L1203" s="1"/>
      <c r="M1203" s="1"/>
      <c r="N1203" s="1"/>
      <c r="O1203" s="1"/>
    </row>
    <row r="1204" spans="2:15" x14ac:dyDescent="0.25">
      <c r="B1204" s="1"/>
      <c r="C1204" s="1"/>
      <c r="D1204" s="1"/>
      <c r="E1204" s="1"/>
      <c r="F1204" s="1"/>
      <c r="G1204" s="1"/>
      <c r="H1204" s="1"/>
      <c r="I1204" s="1"/>
      <c r="J1204" s="1"/>
      <c r="K1204" s="1"/>
      <c r="L1204" s="1"/>
      <c r="M1204" s="1"/>
      <c r="N1204" s="1"/>
      <c r="O1204" s="1"/>
    </row>
    <row r="1205" spans="2:15" x14ac:dyDescent="0.25">
      <c r="B1205" s="1"/>
      <c r="C1205" s="1"/>
      <c r="D1205" s="1"/>
      <c r="E1205" s="1"/>
      <c r="F1205" s="1"/>
      <c r="G1205" s="1"/>
      <c r="H1205" s="1"/>
      <c r="I1205" s="1"/>
      <c r="J1205" s="1"/>
      <c r="K1205" s="1"/>
      <c r="L1205" s="1"/>
      <c r="M1205" s="1"/>
      <c r="N1205" s="1"/>
      <c r="O1205" s="1"/>
    </row>
    <row r="1206" spans="2:15" x14ac:dyDescent="0.25">
      <c r="B1206" s="1"/>
      <c r="C1206" s="1"/>
      <c r="D1206" s="1"/>
      <c r="E1206" s="1"/>
      <c r="F1206" s="1"/>
      <c r="G1206" s="1"/>
      <c r="H1206" s="1"/>
      <c r="I1206" s="1"/>
      <c r="J1206" s="1"/>
      <c r="K1206" s="1"/>
      <c r="L1206" s="1"/>
      <c r="M1206" s="1"/>
      <c r="N1206" s="1"/>
      <c r="O1206" s="1"/>
    </row>
    <row r="1207" spans="2:15" x14ac:dyDescent="0.25">
      <c r="B1207" s="1"/>
      <c r="C1207" s="1"/>
      <c r="D1207" s="1"/>
      <c r="E1207" s="1"/>
      <c r="F1207" s="1"/>
      <c r="G1207" s="1"/>
      <c r="H1207" s="1"/>
      <c r="I1207" s="1"/>
      <c r="J1207" s="1"/>
      <c r="K1207" s="1"/>
      <c r="L1207" s="1"/>
      <c r="M1207" s="1"/>
      <c r="N1207" s="1"/>
      <c r="O1207" s="1"/>
    </row>
    <row r="1208" spans="2:15" x14ac:dyDescent="0.25">
      <c r="B1208" s="1"/>
      <c r="C1208" s="1"/>
      <c r="D1208" s="1"/>
      <c r="E1208" s="1"/>
      <c r="F1208" s="1"/>
      <c r="G1208" s="1"/>
      <c r="H1208" s="1"/>
      <c r="I1208" s="1"/>
      <c r="J1208" s="1"/>
      <c r="K1208" s="1"/>
      <c r="L1208" s="1"/>
      <c r="M1208" s="1"/>
      <c r="N1208" s="1"/>
      <c r="O1208" s="1"/>
    </row>
    <row r="1209" spans="2:15" x14ac:dyDescent="0.25">
      <c r="B1209" s="1"/>
      <c r="C1209" s="1"/>
      <c r="D1209" s="1"/>
      <c r="E1209" s="1"/>
      <c r="F1209" s="1"/>
      <c r="G1209" s="1"/>
      <c r="H1209" s="1"/>
      <c r="I1209" s="1"/>
      <c r="J1209" s="1"/>
      <c r="K1209" s="1"/>
      <c r="L1209" s="1"/>
      <c r="M1209" s="1"/>
      <c r="N1209" s="1"/>
      <c r="O1209" s="1"/>
    </row>
    <row r="1210" spans="2:15" x14ac:dyDescent="0.25">
      <c r="B1210" s="1"/>
      <c r="C1210" s="1"/>
      <c r="D1210" s="1"/>
      <c r="E1210" s="1"/>
      <c r="F1210" s="1"/>
      <c r="G1210" s="1"/>
      <c r="H1210" s="1"/>
      <c r="I1210" s="1"/>
      <c r="J1210" s="1"/>
      <c r="K1210" s="1"/>
      <c r="L1210" s="1"/>
      <c r="M1210" s="1"/>
      <c r="N1210" s="1"/>
      <c r="O1210" s="1"/>
    </row>
    <row r="1211" spans="2:15" x14ac:dyDescent="0.25">
      <c r="B1211" s="1"/>
      <c r="C1211" s="1"/>
      <c r="D1211" s="1"/>
      <c r="E1211" s="1"/>
      <c r="F1211" s="1"/>
      <c r="G1211" s="1"/>
      <c r="H1211" s="1"/>
      <c r="I1211" s="1"/>
      <c r="J1211" s="1"/>
      <c r="K1211" s="1"/>
      <c r="L1211" s="1"/>
      <c r="M1211" s="1"/>
      <c r="N1211" s="1"/>
      <c r="O1211" s="1"/>
    </row>
    <row r="1212" spans="2:15" x14ac:dyDescent="0.25">
      <c r="B1212" s="1"/>
      <c r="C1212" s="1"/>
      <c r="D1212" s="1"/>
      <c r="E1212" s="1"/>
      <c r="F1212" s="1"/>
      <c r="G1212" s="1"/>
      <c r="H1212" s="1"/>
      <c r="I1212" s="1"/>
      <c r="J1212" s="1"/>
      <c r="K1212" s="1"/>
      <c r="L1212" s="1"/>
      <c r="M1212" s="1"/>
      <c r="N1212" s="1"/>
      <c r="O1212" s="1"/>
    </row>
    <row r="1213" spans="2:15" x14ac:dyDescent="0.25">
      <c r="B1213" s="1"/>
      <c r="C1213" s="1"/>
      <c r="D1213" s="1"/>
      <c r="E1213" s="1"/>
      <c r="F1213" s="1"/>
      <c r="G1213" s="1"/>
      <c r="H1213" s="1"/>
      <c r="I1213" s="1"/>
      <c r="J1213" s="1"/>
      <c r="K1213" s="1"/>
      <c r="L1213" s="1"/>
      <c r="M1213" s="1"/>
      <c r="N1213" s="1"/>
      <c r="O1213" s="1"/>
    </row>
    <row r="1214" spans="2:15" x14ac:dyDescent="0.25">
      <c r="B1214" s="1"/>
      <c r="C1214" s="1"/>
      <c r="D1214" s="1"/>
      <c r="E1214" s="1"/>
      <c r="F1214" s="1"/>
      <c r="G1214" s="1"/>
      <c r="H1214" s="1"/>
      <c r="I1214" s="1"/>
      <c r="J1214" s="1"/>
      <c r="K1214" s="1"/>
      <c r="L1214" s="1"/>
      <c r="M1214" s="1"/>
      <c r="N1214" s="1"/>
      <c r="O1214" s="1"/>
    </row>
    <row r="1215" spans="2:15" x14ac:dyDescent="0.25">
      <c r="B1215" s="1"/>
      <c r="C1215" s="1"/>
      <c r="D1215" s="1"/>
      <c r="E1215" s="1"/>
      <c r="F1215" s="1"/>
      <c r="G1215" s="1"/>
      <c r="H1215" s="1"/>
      <c r="I1215" s="1"/>
      <c r="J1215" s="1"/>
      <c r="K1215" s="1"/>
      <c r="L1215" s="1"/>
      <c r="M1215" s="1"/>
      <c r="N1215" s="1"/>
      <c r="O1215" s="1"/>
    </row>
    <row r="1216" spans="2:15" x14ac:dyDescent="0.25">
      <c r="B1216" s="1"/>
      <c r="C1216" s="1"/>
      <c r="D1216" s="1"/>
      <c r="E1216" s="1"/>
      <c r="F1216" s="1"/>
      <c r="G1216" s="1"/>
      <c r="H1216" s="1"/>
      <c r="I1216" s="1"/>
      <c r="J1216" s="1"/>
      <c r="K1216" s="1"/>
      <c r="L1216" s="1"/>
      <c r="M1216" s="1"/>
      <c r="N1216" s="1"/>
      <c r="O1216" s="1"/>
    </row>
    <row r="1217" spans="2:15" x14ac:dyDescent="0.25">
      <c r="B1217" s="1"/>
      <c r="C1217" s="1"/>
      <c r="D1217" s="1"/>
      <c r="E1217" s="1"/>
      <c r="F1217" s="1"/>
      <c r="G1217" s="1"/>
      <c r="H1217" s="1"/>
      <c r="I1217" s="1"/>
      <c r="J1217" s="1"/>
      <c r="K1217" s="1"/>
      <c r="L1217" s="1"/>
      <c r="M1217" s="1"/>
      <c r="N1217" s="1"/>
      <c r="O1217" s="1"/>
    </row>
    <row r="1218" spans="2:15" x14ac:dyDescent="0.25">
      <c r="B1218" s="1"/>
      <c r="C1218" s="1"/>
      <c r="D1218" s="1"/>
      <c r="E1218" s="1"/>
      <c r="F1218" s="1"/>
      <c r="G1218" s="1"/>
      <c r="H1218" s="1"/>
      <c r="I1218" s="1"/>
      <c r="J1218" s="1"/>
      <c r="K1218" s="1"/>
      <c r="L1218" s="1"/>
      <c r="M1218" s="1"/>
      <c r="N1218" s="1"/>
      <c r="O1218" s="1"/>
    </row>
    <row r="1219" spans="2:15" x14ac:dyDescent="0.25">
      <c r="B1219" s="1"/>
      <c r="C1219" s="1"/>
      <c r="D1219" s="1"/>
      <c r="E1219" s="1"/>
      <c r="F1219" s="1"/>
      <c r="G1219" s="1"/>
      <c r="H1219" s="1"/>
      <c r="I1219" s="1"/>
      <c r="J1219" s="1"/>
      <c r="K1219" s="1"/>
      <c r="L1219" s="1"/>
      <c r="M1219" s="1"/>
      <c r="N1219" s="1"/>
      <c r="O1219" s="1"/>
    </row>
    <row r="1220" spans="2:15" x14ac:dyDescent="0.25">
      <c r="B1220" s="1"/>
      <c r="C1220" s="1"/>
      <c r="D1220" s="1"/>
      <c r="E1220" s="1"/>
      <c r="F1220" s="1"/>
      <c r="G1220" s="1"/>
      <c r="H1220" s="1"/>
      <c r="I1220" s="1"/>
      <c r="J1220" s="1"/>
      <c r="K1220" s="1"/>
      <c r="L1220" s="1"/>
      <c r="M1220" s="1"/>
      <c r="N1220" s="1"/>
      <c r="O1220" s="1"/>
    </row>
    <row r="1221" spans="2:15" x14ac:dyDescent="0.25">
      <c r="B1221" s="1"/>
      <c r="C1221" s="1"/>
      <c r="D1221" s="1"/>
      <c r="E1221" s="1"/>
      <c r="F1221" s="1"/>
      <c r="G1221" s="1"/>
      <c r="H1221" s="1"/>
      <c r="I1221" s="1"/>
      <c r="J1221" s="1"/>
      <c r="K1221" s="1"/>
      <c r="L1221" s="1"/>
      <c r="M1221" s="1"/>
      <c r="N1221" s="1"/>
      <c r="O1221" s="1"/>
    </row>
    <row r="1222" spans="2:15" x14ac:dyDescent="0.25">
      <c r="B1222" s="1"/>
      <c r="C1222" s="1"/>
      <c r="D1222" s="1"/>
      <c r="E1222" s="1"/>
      <c r="F1222" s="1"/>
      <c r="G1222" s="1"/>
      <c r="H1222" s="1"/>
      <c r="I1222" s="1"/>
      <c r="J1222" s="1"/>
      <c r="K1222" s="1"/>
      <c r="L1222" s="1"/>
      <c r="M1222" s="1"/>
      <c r="N1222" s="1"/>
      <c r="O1222" s="1"/>
    </row>
    <row r="1223" spans="2:15" x14ac:dyDescent="0.25">
      <c r="B1223" s="1"/>
      <c r="C1223" s="1"/>
      <c r="D1223" s="1"/>
      <c r="E1223" s="1"/>
      <c r="F1223" s="1"/>
      <c r="G1223" s="1"/>
      <c r="H1223" s="1"/>
      <c r="I1223" s="1"/>
      <c r="J1223" s="1"/>
      <c r="K1223" s="1"/>
      <c r="L1223" s="1"/>
      <c r="M1223" s="1"/>
      <c r="N1223" s="1"/>
      <c r="O1223" s="1"/>
    </row>
    <row r="1224" spans="2:15" x14ac:dyDescent="0.25">
      <c r="B1224" s="1"/>
      <c r="C1224" s="1"/>
      <c r="D1224" s="1"/>
      <c r="E1224" s="1"/>
      <c r="F1224" s="1"/>
      <c r="G1224" s="1"/>
      <c r="H1224" s="1"/>
      <c r="I1224" s="1"/>
      <c r="J1224" s="1"/>
      <c r="K1224" s="1"/>
      <c r="L1224" s="1"/>
      <c r="M1224" s="1"/>
      <c r="N1224" s="1"/>
      <c r="O1224" s="1"/>
    </row>
    <row r="1225" spans="2:15" x14ac:dyDescent="0.25">
      <c r="B1225" s="1"/>
      <c r="C1225" s="1"/>
      <c r="D1225" s="1"/>
      <c r="E1225" s="1"/>
      <c r="F1225" s="1"/>
      <c r="G1225" s="1"/>
      <c r="H1225" s="1"/>
      <c r="I1225" s="1"/>
      <c r="J1225" s="1"/>
      <c r="K1225" s="1"/>
      <c r="L1225" s="1"/>
      <c r="M1225" s="1"/>
      <c r="N1225" s="1"/>
      <c r="O1225" s="1"/>
    </row>
    <row r="1226" spans="2:15" x14ac:dyDescent="0.25">
      <c r="B1226" s="1"/>
      <c r="C1226" s="1"/>
      <c r="D1226" s="1"/>
      <c r="E1226" s="1"/>
      <c r="F1226" s="1"/>
      <c r="G1226" s="1"/>
      <c r="H1226" s="1"/>
      <c r="I1226" s="1"/>
      <c r="J1226" s="1"/>
      <c r="K1226" s="1"/>
      <c r="L1226" s="1"/>
      <c r="M1226" s="1"/>
      <c r="N1226" s="1"/>
      <c r="O1226" s="1"/>
    </row>
    <row r="1227" spans="2:15" x14ac:dyDescent="0.25">
      <c r="B1227" s="1"/>
      <c r="C1227" s="1"/>
      <c r="D1227" s="1"/>
      <c r="E1227" s="1"/>
      <c r="F1227" s="1"/>
      <c r="G1227" s="1"/>
      <c r="H1227" s="1"/>
      <c r="I1227" s="1"/>
      <c r="J1227" s="1"/>
      <c r="K1227" s="1"/>
      <c r="L1227" s="1"/>
      <c r="M1227" s="1"/>
      <c r="N1227" s="1"/>
      <c r="O1227" s="1"/>
    </row>
    <row r="1228" spans="2:15" x14ac:dyDescent="0.25">
      <c r="B1228" s="1"/>
      <c r="C1228" s="1"/>
      <c r="D1228" s="1"/>
      <c r="E1228" s="1"/>
      <c r="F1228" s="1"/>
      <c r="G1228" s="1"/>
      <c r="H1228" s="1"/>
      <c r="I1228" s="1"/>
      <c r="J1228" s="1"/>
      <c r="K1228" s="1"/>
      <c r="L1228" s="1"/>
      <c r="M1228" s="1"/>
      <c r="N1228" s="1"/>
      <c r="O1228" s="1"/>
    </row>
    <row r="1229" spans="2:15" x14ac:dyDescent="0.25">
      <c r="B1229" s="1"/>
      <c r="C1229" s="1"/>
      <c r="D1229" s="1"/>
      <c r="E1229" s="1"/>
      <c r="F1229" s="1"/>
      <c r="G1229" s="1"/>
      <c r="H1229" s="1"/>
      <c r="I1229" s="1"/>
      <c r="J1229" s="1"/>
      <c r="K1229" s="1"/>
      <c r="L1229" s="1"/>
      <c r="M1229" s="1"/>
      <c r="N1229" s="1"/>
      <c r="O1229" s="1"/>
    </row>
    <row r="1230" spans="2:15" x14ac:dyDescent="0.25">
      <c r="B1230" s="1"/>
      <c r="C1230" s="1"/>
      <c r="D1230" s="1"/>
      <c r="E1230" s="1"/>
      <c r="F1230" s="1"/>
      <c r="G1230" s="1"/>
      <c r="H1230" s="1"/>
      <c r="I1230" s="1"/>
      <c r="J1230" s="1"/>
      <c r="K1230" s="1"/>
      <c r="L1230" s="1"/>
      <c r="M1230" s="1"/>
      <c r="N1230" s="1"/>
      <c r="O1230" s="1"/>
    </row>
    <row r="1231" spans="2:15" x14ac:dyDescent="0.25">
      <c r="B1231" s="1"/>
      <c r="C1231" s="1"/>
      <c r="D1231" s="1"/>
      <c r="E1231" s="1"/>
      <c r="F1231" s="1"/>
      <c r="G1231" s="1"/>
      <c r="H1231" s="1"/>
      <c r="I1231" s="1"/>
      <c r="J1231" s="1"/>
      <c r="K1231" s="1"/>
      <c r="L1231" s="1"/>
      <c r="M1231" s="1"/>
      <c r="N1231" s="1"/>
      <c r="O1231" s="1"/>
    </row>
    <row r="1232" spans="2:15" x14ac:dyDescent="0.25">
      <c r="B1232" s="1"/>
      <c r="C1232" s="1"/>
      <c r="D1232" s="1"/>
      <c r="E1232" s="1"/>
      <c r="F1232" s="1"/>
      <c r="G1232" s="1"/>
      <c r="H1232" s="1"/>
      <c r="I1232" s="1"/>
      <c r="J1232" s="1"/>
      <c r="K1232" s="1"/>
      <c r="L1232" s="1"/>
      <c r="M1232" s="1"/>
      <c r="N1232" s="1"/>
      <c r="O1232" s="1"/>
    </row>
    <row r="1233" spans="2:15" x14ac:dyDescent="0.25">
      <c r="B1233" s="1"/>
      <c r="C1233" s="1"/>
      <c r="D1233" s="1"/>
      <c r="E1233" s="1"/>
      <c r="F1233" s="1"/>
      <c r="G1233" s="1"/>
      <c r="H1233" s="1"/>
      <c r="I1233" s="1"/>
      <c r="J1233" s="1"/>
      <c r="K1233" s="1"/>
      <c r="L1233" s="1"/>
      <c r="M1233" s="1"/>
      <c r="N1233" s="1"/>
      <c r="O1233" s="1"/>
    </row>
    <row r="1234" spans="2:15" x14ac:dyDescent="0.25">
      <c r="B1234" s="1"/>
      <c r="C1234" s="1"/>
      <c r="D1234" s="1"/>
      <c r="E1234" s="1"/>
      <c r="F1234" s="1"/>
      <c r="G1234" s="1"/>
      <c r="H1234" s="1"/>
      <c r="I1234" s="1"/>
      <c r="J1234" s="1"/>
      <c r="K1234" s="1"/>
      <c r="L1234" s="1"/>
      <c r="M1234" s="1"/>
      <c r="N1234" s="1"/>
      <c r="O1234" s="1"/>
    </row>
    <row r="1235" spans="2:15" x14ac:dyDescent="0.25">
      <c r="B1235" s="1"/>
      <c r="C1235" s="1"/>
      <c r="D1235" s="1"/>
      <c r="E1235" s="1"/>
      <c r="F1235" s="1"/>
      <c r="G1235" s="1"/>
      <c r="H1235" s="1"/>
      <c r="I1235" s="1"/>
      <c r="J1235" s="1"/>
      <c r="K1235" s="1"/>
      <c r="L1235" s="1"/>
      <c r="M1235" s="1"/>
      <c r="N1235" s="1"/>
      <c r="O1235" s="1"/>
    </row>
    <row r="1236" spans="2:15" x14ac:dyDescent="0.25">
      <c r="B1236" s="1"/>
      <c r="C1236" s="1"/>
      <c r="D1236" s="1"/>
      <c r="E1236" s="1"/>
      <c r="F1236" s="1"/>
      <c r="G1236" s="1"/>
      <c r="H1236" s="1"/>
      <c r="I1236" s="1"/>
      <c r="J1236" s="1"/>
      <c r="K1236" s="1"/>
      <c r="L1236" s="1"/>
      <c r="M1236" s="1"/>
      <c r="N1236" s="1"/>
      <c r="O1236" s="1"/>
    </row>
    <row r="1237" spans="2:15" x14ac:dyDescent="0.25">
      <c r="B1237" s="1"/>
      <c r="C1237" s="1"/>
      <c r="D1237" s="1"/>
      <c r="E1237" s="1"/>
      <c r="F1237" s="1"/>
      <c r="G1237" s="1"/>
      <c r="H1237" s="1"/>
      <c r="I1237" s="1"/>
      <c r="J1237" s="1"/>
      <c r="K1237" s="1"/>
      <c r="L1237" s="1"/>
      <c r="M1237" s="1"/>
      <c r="N1237" s="1"/>
      <c r="O1237" s="1"/>
    </row>
    <row r="1238" spans="2:15" x14ac:dyDescent="0.25">
      <c r="B1238" s="1"/>
      <c r="C1238" s="1"/>
      <c r="D1238" s="1"/>
      <c r="E1238" s="1"/>
      <c r="F1238" s="1"/>
      <c r="G1238" s="1"/>
      <c r="H1238" s="1"/>
      <c r="I1238" s="1"/>
      <c r="J1238" s="1"/>
      <c r="K1238" s="1"/>
      <c r="L1238" s="1"/>
      <c r="M1238" s="1"/>
      <c r="N1238" s="1"/>
      <c r="O1238" s="1"/>
    </row>
    <row r="1239" spans="2:15" x14ac:dyDescent="0.25">
      <c r="B1239" s="1"/>
      <c r="C1239" s="1"/>
      <c r="D1239" s="1"/>
      <c r="E1239" s="1"/>
      <c r="F1239" s="1"/>
      <c r="G1239" s="1"/>
      <c r="H1239" s="1"/>
      <c r="I1239" s="1"/>
      <c r="J1239" s="1"/>
      <c r="K1239" s="1"/>
      <c r="L1239" s="1"/>
      <c r="M1239" s="1"/>
      <c r="N1239" s="1"/>
      <c r="O1239" s="1"/>
    </row>
    <row r="1240" spans="2:15" x14ac:dyDescent="0.25">
      <c r="B1240" s="1"/>
      <c r="C1240" s="1"/>
      <c r="D1240" s="1"/>
      <c r="E1240" s="1"/>
      <c r="F1240" s="1"/>
      <c r="G1240" s="1"/>
      <c r="H1240" s="1"/>
      <c r="I1240" s="1"/>
      <c r="J1240" s="1"/>
      <c r="K1240" s="1"/>
      <c r="L1240" s="1"/>
      <c r="M1240" s="1"/>
      <c r="N1240" s="1"/>
      <c r="O1240" s="1"/>
    </row>
    <row r="1241" spans="2:15" x14ac:dyDescent="0.25">
      <c r="B1241" s="1"/>
      <c r="C1241" s="1"/>
      <c r="D1241" s="1"/>
      <c r="E1241" s="1"/>
      <c r="F1241" s="1"/>
      <c r="G1241" s="1"/>
      <c r="H1241" s="1"/>
      <c r="I1241" s="1"/>
      <c r="J1241" s="1"/>
      <c r="K1241" s="1"/>
      <c r="L1241" s="1"/>
      <c r="M1241" s="1"/>
      <c r="N1241" s="1"/>
      <c r="O1241" s="1"/>
    </row>
    <row r="1242" spans="2:15" x14ac:dyDescent="0.25">
      <c r="B1242" s="1"/>
      <c r="C1242" s="1"/>
      <c r="D1242" s="1"/>
      <c r="E1242" s="1"/>
      <c r="F1242" s="1"/>
      <c r="G1242" s="1"/>
      <c r="H1242" s="1"/>
      <c r="I1242" s="1"/>
      <c r="J1242" s="1"/>
      <c r="K1242" s="1"/>
      <c r="L1242" s="1"/>
      <c r="M1242" s="1"/>
      <c r="N1242" s="1"/>
      <c r="O1242" s="1"/>
    </row>
    <row r="1243" spans="2:15" x14ac:dyDescent="0.25">
      <c r="B1243" s="1"/>
      <c r="C1243" s="1"/>
      <c r="D1243" s="1"/>
      <c r="E1243" s="1"/>
      <c r="F1243" s="1"/>
      <c r="G1243" s="1"/>
      <c r="H1243" s="1"/>
      <c r="I1243" s="1"/>
      <c r="J1243" s="1"/>
      <c r="K1243" s="1"/>
      <c r="L1243" s="1"/>
      <c r="M1243" s="1"/>
      <c r="N1243" s="1"/>
      <c r="O1243" s="1"/>
    </row>
    <row r="1244" spans="2:15" x14ac:dyDescent="0.25">
      <c r="B1244" s="1"/>
      <c r="C1244" s="1"/>
      <c r="D1244" s="1"/>
      <c r="E1244" s="1"/>
      <c r="F1244" s="1"/>
      <c r="G1244" s="1"/>
      <c r="H1244" s="1"/>
      <c r="I1244" s="1"/>
      <c r="J1244" s="1"/>
      <c r="K1244" s="1"/>
      <c r="L1244" s="1"/>
      <c r="M1244" s="1"/>
      <c r="N1244" s="1"/>
      <c r="O1244" s="1"/>
    </row>
    <row r="1245" spans="2:15" x14ac:dyDescent="0.25">
      <c r="B1245" s="1"/>
      <c r="C1245" s="1"/>
      <c r="D1245" s="1"/>
      <c r="E1245" s="1"/>
      <c r="F1245" s="1"/>
      <c r="G1245" s="1"/>
      <c r="H1245" s="1"/>
      <c r="I1245" s="1"/>
      <c r="J1245" s="1"/>
      <c r="K1245" s="1"/>
      <c r="L1245" s="1"/>
      <c r="M1245" s="1"/>
      <c r="N1245" s="1"/>
      <c r="O1245" s="1"/>
    </row>
    <row r="1246" spans="2:15" x14ac:dyDescent="0.25">
      <c r="B1246" s="1"/>
      <c r="C1246" s="1"/>
      <c r="D1246" s="1"/>
      <c r="E1246" s="1"/>
      <c r="F1246" s="1"/>
      <c r="G1246" s="1"/>
      <c r="H1246" s="1"/>
      <c r="I1246" s="1"/>
      <c r="J1246" s="1"/>
      <c r="K1246" s="1"/>
      <c r="L1246" s="1"/>
      <c r="M1246" s="1"/>
      <c r="N1246" s="1"/>
      <c r="O1246" s="1"/>
    </row>
    <row r="1247" spans="2:15" x14ac:dyDescent="0.25">
      <c r="B1247" s="1"/>
      <c r="C1247" s="1"/>
      <c r="D1247" s="1"/>
      <c r="E1247" s="1"/>
      <c r="F1247" s="1"/>
      <c r="G1247" s="1"/>
      <c r="H1247" s="1"/>
      <c r="I1247" s="1"/>
      <c r="J1247" s="1"/>
      <c r="K1247" s="1"/>
      <c r="L1247" s="1"/>
      <c r="M1247" s="1"/>
      <c r="N1247" s="1"/>
      <c r="O1247" s="1"/>
    </row>
    <row r="1248" spans="2:15" x14ac:dyDescent="0.25">
      <c r="B1248" s="1"/>
      <c r="C1248" s="1"/>
      <c r="D1248" s="1"/>
      <c r="E1248" s="1"/>
      <c r="F1248" s="1"/>
      <c r="G1248" s="1"/>
      <c r="H1248" s="1"/>
      <c r="I1248" s="1"/>
      <c r="J1248" s="1"/>
      <c r="K1248" s="1"/>
      <c r="L1248" s="1"/>
      <c r="M1248" s="1"/>
      <c r="N1248" s="1"/>
      <c r="O1248" s="1"/>
    </row>
    <row r="1249" spans="2:15" x14ac:dyDescent="0.25">
      <c r="B1249" s="1"/>
      <c r="C1249" s="1"/>
      <c r="D1249" s="1"/>
      <c r="E1249" s="1"/>
      <c r="F1249" s="1"/>
      <c r="G1249" s="1"/>
      <c r="H1249" s="1"/>
      <c r="I1249" s="1"/>
      <c r="J1249" s="1"/>
      <c r="K1249" s="1"/>
      <c r="L1249" s="1"/>
      <c r="M1249" s="1"/>
      <c r="N1249" s="1"/>
      <c r="O1249" s="1"/>
    </row>
    <row r="1250" spans="2:15" x14ac:dyDescent="0.25">
      <c r="B1250" s="1"/>
      <c r="C1250" s="1"/>
      <c r="D1250" s="1"/>
      <c r="E1250" s="1"/>
      <c r="F1250" s="1"/>
      <c r="G1250" s="1"/>
      <c r="H1250" s="1"/>
      <c r="I1250" s="1"/>
      <c r="J1250" s="1"/>
      <c r="K1250" s="1"/>
      <c r="L1250" s="1"/>
      <c r="M1250" s="1"/>
      <c r="N1250" s="1"/>
      <c r="O1250" s="1"/>
    </row>
    <row r="1251" spans="2:15" x14ac:dyDescent="0.25">
      <c r="B1251" s="1"/>
      <c r="C1251" s="1"/>
      <c r="D1251" s="1"/>
      <c r="E1251" s="1"/>
      <c r="F1251" s="1"/>
      <c r="G1251" s="1"/>
      <c r="H1251" s="1"/>
      <c r="I1251" s="1"/>
      <c r="J1251" s="1"/>
      <c r="K1251" s="1"/>
      <c r="L1251" s="1"/>
      <c r="M1251" s="1"/>
      <c r="N1251" s="1"/>
      <c r="O1251" s="1"/>
    </row>
    <row r="1252" spans="2:15" x14ac:dyDescent="0.25">
      <c r="B1252" s="1"/>
      <c r="C1252" s="1"/>
      <c r="D1252" s="1"/>
      <c r="E1252" s="1"/>
      <c r="F1252" s="1"/>
      <c r="G1252" s="1"/>
      <c r="H1252" s="1"/>
      <c r="I1252" s="1"/>
      <c r="J1252" s="1"/>
      <c r="K1252" s="1"/>
      <c r="L1252" s="1"/>
      <c r="M1252" s="1"/>
      <c r="N1252" s="1"/>
      <c r="O1252" s="1"/>
    </row>
    <row r="1253" spans="2:15" x14ac:dyDescent="0.25">
      <c r="B1253" s="1"/>
      <c r="C1253" s="1"/>
      <c r="D1253" s="1"/>
      <c r="E1253" s="1"/>
      <c r="F1253" s="1"/>
      <c r="G1253" s="1"/>
      <c r="H1253" s="1"/>
      <c r="I1253" s="1"/>
      <c r="J1253" s="1"/>
      <c r="K1253" s="1"/>
      <c r="L1253" s="1"/>
      <c r="M1253" s="1"/>
      <c r="N1253" s="1"/>
      <c r="O1253" s="1"/>
    </row>
    <row r="1254" spans="2:15" x14ac:dyDescent="0.25">
      <c r="B1254" s="1"/>
      <c r="C1254" s="1"/>
      <c r="D1254" s="1"/>
      <c r="E1254" s="1"/>
      <c r="F1254" s="1"/>
      <c r="G1254" s="1"/>
      <c r="H1254" s="1"/>
      <c r="I1254" s="1"/>
      <c r="J1254" s="1"/>
      <c r="K1254" s="1"/>
      <c r="L1254" s="1"/>
      <c r="M1254" s="1"/>
      <c r="N1254" s="1"/>
      <c r="O1254" s="1"/>
    </row>
    <row r="1255" spans="2:15" x14ac:dyDescent="0.25">
      <c r="B1255" s="1"/>
      <c r="C1255" s="1"/>
      <c r="D1255" s="1"/>
      <c r="E1255" s="1"/>
      <c r="F1255" s="1"/>
      <c r="G1255" s="1"/>
      <c r="H1255" s="1"/>
      <c r="I1255" s="1"/>
      <c r="J1255" s="1"/>
      <c r="K1255" s="1"/>
      <c r="L1255" s="1"/>
      <c r="M1255" s="1"/>
      <c r="N1255" s="1"/>
      <c r="O1255" s="1"/>
    </row>
    <row r="1256" spans="2:15" x14ac:dyDescent="0.25">
      <c r="B1256" s="1"/>
      <c r="C1256" s="1"/>
      <c r="D1256" s="1"/>
      <c r="E1256" s="1"/>
      <c r="F1256" s="1"/>
      <c r="G1256" s="1"/>
      <c r="H1256" s="1"/>
      <c r="I1256" s="1"/>
      <c r="J1256" s="1"/>
      <c r="K1256" s="1"/>
      <c r="L1256" s="1"/>
      <c r="M1256" s="1"/>
      <c r="N1256" s="1"/>
      <c r="O1256" s="1"/>
    </row>
    <row r="1257" spans="2:15" x14ac:dyDescent="0.25">
      <c r="B1257" s="1"/>
      <c r="C1257" s="1"/>
      <c r="D1257" s="1"/>
      <c r="E1257" s="1"/>
      <c r="F1257" s="1"/>
      <c r="G1257" s="1"/>
      <c r="H1257" s="1"/>
      <c r="I1257" s="1"/>
      <c r="J1257" s="1"/>
      <c r="K1257" s="1"/>
      <c r="L1257" s="1"/>
      <c r="M1257" s="1"/>
      <c r="N1257" s="1"/>
      <c r="O1257" s="1"/>
    </row>
    <row r="1258" spans="2:15" x14ac:dyDescent="0.25">
      <c r="B1258" s="1"/>
      <c r="C1258" s="1"/>
      <c r="D1258" s="1"/>
      <c r="E1258" s="1"/>
      <c r="F1258" s="1"/>
      <c r="G1258" s="1"/>
      <c r="H1258" s="1"/>
      <c r="I1258" s="1"/>
      <c r="J1258" s="1"/>
      <c r="K1258" s="1"/>
      <c r="L1258" s="1"/>
      <c r="M1258" s="1"/>
      <c r="N1258" s="1"/>
      <c r="O1258" s="1"/>
    </row>
    <row r="1259" spans="2:15" x14ac:dyDescent="0.25">
      <c r="B1259" s="1"/>
      <c r="C1259" s="1"/>
      <c r="D1259" s="1"/>
      <c r="E1259" s="1"/>
      <c r="F1259" s="1"/>
      <c r="G1259" s="1"/>
      <c r="H1259" s="1"/>
      <c r="I1259" s="1"/>
      <c r="J1259" s="1"/>
      <c r="K1259" s="1"/>
      <c r="L1259" s="1"/>
      <c r="M1259" s="1"/>
      <c r="N1259" s="1"/>
      <c r="O1259" s="1"/>
    </row>
    <row r="1260" spans="2:15" x14ac:dyDescent="0.25">
      <c r="B1260" s="1"/>
      <c r="C1260" s="1"/>
      <c r="D1260" s="1"/>
      <c r="E1260" s="1"/>
      <c r="F1260" s="1"/>
      <c r="G1260" s="1"/>
      <c r="H1260" s="1"/>
      <c r="I1260" s="1"/>
      <c r="J1260" s="1"/>
      <c r="K1260" s="1"/>
      <c r="L1260" s="1"/>
      <c r="M1260" s="1"/>
      <c r="N1260" s="1"/>
      <c r="O1260" s="1"/>
    </row>
    <row r="1261" spans="2:15" x14ac:dyDescent="0.25">
      <c r="B1261" s="1"/>
      <c r="C1261" s="1"/>
      <c r="D1261" s="1"/>
      <c r="E1261" s="1"/>
      <c r="F1261" s="1"/>
      <c r="G1261" s="1"/>
      <c r="H1261" s="1"/>
      <c r="I1261" s="1"/>
      <c r="J1261" s="1"/>
      <c r="K1261" s="1"/>
      <c r="L1261" s="1"/>
      <c r="M1261" s="1"/>
      <c r="N1261" s="1"/>
      <c r="O1261" s="1"/>
    </row>
    <row r="1262" spans="2:15" x14ac:dyDescent="0.25">
      <c r="B1262" s="1"/>
      <c r="C1262" s="1"/>
      <c r="D1262" s="1"/>
      <c r="E1262" s="1"/>
      <c r="F1262" s="1"/>
      <c r="G1262" s="1"/>
      <c r="H1262" s="1"/>
      <c r="I1262" s="1"/>
      <c r="J1262" s="1"/>
      <c r="K1262" s="1"/>
      <c r="L1262" s="1"/>
      <c r="M1262" s="1"/>
      <c r="N1262" s="1"/>
      <c r="O1262" s="1"/>
    </row>
    <row r="1263" spans="2:15" x14ac:dyDescent="0.25">
      <c r="B1263" s="1"/>
      <c r="C1263" s="1"/>
      <c r="D1263" s="1"/>
      <c r="E1263" s="1"/>
      <c r="F1263" s="1"/>
      <c r="G1263" s="1"/>
      <c r="H1263" s="1"/>
      <c r="I1263" s="1"/>
      <c r="J1263" s="1"/>
      <c r="K1263" s="1"/>
      <c r="L1263" s="1"/>
      <c r="M1263" s="1"/>
      <c r="N1263" s="1"/>
      <c r="O1263" s="1"/>
    </row>
    <row r="1264" spans="2:15" x14ac:dyDescent="0.25">
      <c r="B1264" s="1"/>
      <c r="C1264" s="1"/>
      <c r="D1264" s="1"/>
      <c r="E1264" s="1"/>
      <c r="F1264" s="1"/>
      <c r="G1264" s="1"/>
      <c r="H1264" s="1"/>
      <c r="I1264" s="1"/>
      <c r="J1264" s="1"/>
      <c r="K1264" s="1"/>
      <c r="L1264" s="1"/>
      <c r="M1264" s="1"/>
      <c r="N1264" s="1"/>
      <c r="O1264" s="1"/>
    </row>
    <row r="1265" spans="2:15" x14ac:dyDescent="0.25">
      <c r="B1265" s="1"/>
      <c r="C1265" s="1"/>
      <c r="D1265" s="1"/>
      <c r="E1265" s="1"/>
      <c r="F1265" s="1"/>
      <c r="G1265" s="1"/>
      <c r="H1265" s="1"/>
      <c r="I1265" s="1"/>
      <c r="J1265" s="1"/>
      <c r="K1265" s="1"/>
      <c r="L1265" s="1"/>
      <c r="M1265" s="1"/>
      <c r="N1265" s="1"/>
      <c r="O1265" s="1"/>
    </row>
    <row r="1266" spans="2:15" x14ac:dyDescent="0.25">
      <c r="B1266" s="1"/>
      <c r="C1266" s="1"/>
      <c r="D1266" s="1"/>
      <c r="E1266" s="1"/>
      <c r="F1266" s="1"/>
      <c r="G1266" s="1"/>
      <c r="H1266" s="1"/>
      <c r="I1266" s="1"/>
      <c r="J1266" s="1"/>
      <c r="K1266" s="1"/>
      <c r="L1266" s="1"/>
      <c r="M1266" s="1"/>
      <c r="N1266" s="1"/>
      <c r="O1266" s="1"/>
    </row>
    <row r="1267" spans="2:15" x14ac:dyDescent="0.25">
      <c r="B1267" s="1"/>
      <c r="C1267" s="1"/>
      <c r="D1267" s="1"/>
      <c r="E1267" s="1"/>
      <c r="F1267" s="1"/>
      <c r="G1267" s="1"/>
      <c r="H1267" s="1"/>
      <c r="I1267" s="1"/>
      <c r="J1267" s="1"/>
      <c r="K1267" s="1"/>
      <c r="L1267" s="1"/>
      <c r="M1267" s="1"/>
      <c r="N1267" s="1"/>
      <c r="O1267" s="1"/>
    </row>
    <row r="1268" spans="2:15" x14ac:dyDescent="0.25">
      <c r="B1268" s="1"/>
      <c r="C1268" s="1"/>
      <c r="D1268" s="1"/>
      <c r="E1268" s="1"/>
      <c r="F1268" s="1"/>
      <c r="G1268" s="1"/>
      <c r="H1268" s="1"/>
      <c r="I1268" s="1"/>
      <c r="J1268" s="1"/>
      <c r="K1268" s="1"/>
      <c r="L1268" s="1"/>
      <c r="M1268" s="1"/>
      <c r="N1268" s="1"/>
      <c r="O1268" s="1"/>
    </row>
    <row r="1269" spans="2:15" x14ac:dyDescent="0.25">
      <c r="B1269" s="1"/>
      <c r="C1269" s="1"/>
      <c r="D1269" s="1"/>
      <c r="E1269" s="1"/>
      <c r="F1269" s="1"/>
      <c r="G1269" s="1"/>
      <c r="H1269" s="1"/>
      <c r="I1269" s="1"/>
      <c r="J1269" s="1"/>
      <c r="K1269" s="1"/>
      <c r="L1269" s="1"/>
      <c r="M1269" s="1"/>
      <c r="N1269" s="1"/>
      <c r="O1269" s="1"/>
    </row>
    <row r="1270" spans="2:15" x14ac:dyDescent="0.25">
      <c r="B1270" s="1"/>
      <c r="C1270" s="1"/>
      <c r="D1270" s="1"/>
      <c r="E1270" s="1"/>
      <c r="F1270" s="1"/>
      <c r="G1270" s="1"/>
      <c r="H1270" s="1"/>
      <c r="I1270" s="1"/>
      <c r="J1270" s="1"/>
      <c r="K1270" s="1"/>
      <c r="L1270" s="1"/>
      <c r="M1270" s="1"/>
      <c r="N1270" s="1"/>
      <c r="O1270" s="1"/>
    </row>
    <row r="1271" spans="2:15" x14ac:dyDescent="0.25">
      <c r="B1271" s="1"/>
      <c r="C1271" s="1"/>
      <c r="D1271" s="1"/>
      <c r="E1271" s="1"/>
      <c r="F1271" s="1"/>
      <c r="G1271" s="1"/>
      <c r="H1271" s="1"/>
      <c r="I1271" s="1"/>
      <c r="J1271" s="1"/>
      <c r="K1271" s="1"/>
      <c r="L1271" s="1"/>
      <c r="M1271" s="1"/>
      <c r="N1271" s="1"/>
      <c r="O1271" s="1"/>
    </row>
    <row r="1272" spans="2:15" x14ac:dyDescent="0.25">
      <c r="B1272" s="1"/>
      <c r="C1272" s="1"/>
      <c r="D1272" s="1"/>
      <c r="E1272" s="1"/>
      <c r="F1272" s="1"/>
      <c r="G1272" s="1"/>
      <c r="H1272" s="1"/>
      <c r="I1272" s="1"/>
      <c r="J1272" s="1"/>
      <c r="K1272" s="1"/>
      <c r="L1272" s="1"/>
      <c r="M1272" s="1"/>
      <c r="N1272" s="1"/>
      <c r="O1272" s="1"/>
    </row>
    <row r="1273" spans="2:15" x14ac:dyDescent="0.25">
      <c r="B1273" s="1"/>
      <c r="C1273" s="1"/>
      <c r="D1273" s="1"/>
      <c r="E1273" s="1"/>
      <c r="F1273" s="1"/>
      <c r="G1273" s="1"/>
      <c r="H1273" s="1"/>
      <c r="I1273" s="1"/>
      <c r="J1273" s="1"/>
      <c r="K1273" s="1"/>
      <c r="L1273" s="1"/>
      <c r="M1273" s="1"/>
      <c r="N1273" s="1"/>
      <c r="O1273" s="1"/>
    </row>
    <row r="1274" spans="2:15" x14ac:dyDescent="0.25">
      <c r="B1274" s="1"/>
      <c r="C1274" s="1"/>
      <c r="D1274" s="1"/>
      <c r="E1274" s="1"/>
      <c r="F1274" s="1"/>
      <c r="G1274" s="1"/>
      <c r="H1274" s="1"/>
      <c r="I1274" s="1"/>
      <c r="J1274" s="1"/>
      <c r="K1274" s="1"/>
      <c r="L1274" s="1"/>
      <c r="M1274" s="1"/>
      <c r="N1274" s="1"/>
      <c r="O1274" s="1"/>
    </row>
    <row r="1275" spans="2:15" x14ac:dyDescent="0.25">
      <c r="B1275" s="1"/>
      <c r="C1275" s="1"/>
      <c r="D1275" s="1"/>
      <c r="E1275" s="1"/>
      <c r="F1275" s="1"/>
      <c r="G1275" s="1"/>
      <c r="H1275" s="1"/>
      <c r="I1275" s="1"/>
      <c r="J1275" s="1"/>
      <c r="K1275" s="1"/>
      <c r="L1275" s="1"/>
      <c r="M1275" s="1"/>
      <c r="N1275" s="1"/>
      <c r="O1275" s="1"/>
    </row>
    <row r="1276" spans="2:15" x14ac:dyDescent="0.25">
      <c r="B1276" s="1"/>
      <c r="C1276" s="1"/>
      <c r="D1276" s="1"/>
      <c r="E1276" s="1"/>
      <c r="F1276" s="1"/>
      <c r="G1276" s="1"/>
      <c r="H1276" s="1"/>
      <c r="I1276" s="1"/>
      <c r="J1276" s="1"/>
      <c r="K1276" s="1"/>
      <c r="L1276" s="1"/>
      <c r="M1276" s="1"/>
      <c r="N1276" s="1"/>
      <c r="O1276" s="1"/>
    </row>
    <row r="1277" spans="2:15" x14ac:dyDescent="0.25">
      <c r="B1277" s="1"/>
      <c r="C1277" s="1"/>
      <c r="D1277" s="1"/>
      <c r="E1277" s="1"/>
      <c r="F1277" s="1"/>
      <c r="G1277" s="1"/>
      <c r="H1277" s="1"/>
      <c r="I1277" s="1"/>
      <c r="J1277" s="1"/>
      <c r="K1277" s="1"/>
      <c r="L1277" s="1"/>
      <c r="M1277" s="1"/>
      <c r="N1277" s="1"/>
      <c r="O1277" s="1"/>
    </row>
    <row r="1278" spans="2:15" x14ac:dyDescent="0.25">
      <c r="B1278" s="1"/>
      <c r="C1278" s="1"/>
      <c r="D1278" s="1"/>
      <c r="E1278" s="1"/>
      <c r="F1278" s="1"/>
      <c r="G1278" s="1"/>
      <c r="H1278" s="1"/>
      <c r="I1278" s="1"/>
      <c r="J1278" s="1"/>
      <c r="K1278" s="1"/>
      <c r="L1278" s="1"/>
      <c r="M1278" s="1"/>
      <c r="N1278" s="1"/>
      <c r="O1278" s="1"/>
    </row>
    <row r="1279" spans="2:15" x14ac:dyDescent="0.25">
      <c r="B1279" s="1"/>
      <c r="C1279" s="1"/>
      <c r="D1279" s="1"/>
      <c r="E1279" s="1"/>
      <c r="F1279" s="1"/>
      <c r="G1279" s="1"/>
      <c r="H1279" s="1"/>
      <c r="I1279" s="1"/>
      <c r="J1279" s="1"/>
      <c r="K1279" s="1"/>
      <c r="L1279" s="1"/>
      <c r="M1279" s="1"/>
      <c r="N1279" s="1"/>
      <c r="O1279" s="1"/>
    </row>
    <row r="1280" spans="2:15" x14ac:dyDescent="0.25">
      <c r="B1280" s="1"/>
      <c r="C1280" s="1"/>
      <c r="D1280" s="1"/>
      <c r="E1280" s="1"/>
      <c r="F1280" s="1"/>
      <c r="G1280" s="1"/>
      <c r="H1280" s="1"/>
      <c r="I1280" s="1"/>
      <c r="J1280" s="1"/>
      <c r="K1280" s="1"/>
      <c r="L1280" s="1"/>
      <c r="M1280" s="1"/>
      <c r="N1280" s="1"/>
      <c r="O1280" s="1"/>
    </row>
    <row r="1281" spans="2:15" x14ac:dyDescent="0.25">
      <c r="B1281" s="1"/>
      <c r="C1281" s="1"/>
      <c r="D1281" s="1"/>
      <c r="E1281" s="1"/>
      <c r="F1281" s="1"/>
      <c r="G1281" s="1"/>
      <c r="H1281" s="1"/>
      <c r="I1281" s="1"/>
      <c r="J1281" s="1"/>
      <c r="K1281" s="1"/>
      <c r="L1281" s="1"/>
      <c r="M1281" s="1"/>
      <c r="N1281" s="1"/>
      <c r="O1281" s="1"/>
    </row>
    <row r="1282" spans="2:15" x14ac:dyDescent="0.25">
      <c r="B1282" s="1"/>
      <c r="C1282" s="1"/>
      <c r="D1282" s="1"/>
      <c r="E1282" s="1"/>
      <c r="F1282" s="1"/>
      <c r="G1282" s="1"/>
      <c r="H1282" s="1"/>
      <c r="I1282" s="1"/>
      <c r="J1282" s="1"/>
      <c r="K1282" s="1"/>
      <c r="L1282" s="1"/>
      <c r="M1282" s="1"/>
      <c r="N1282" s="1"/>
      <c r="O1282" s="1"/>
    </row>
    <row r="1283" spans="2:15" x14ac:dyDescent="0.25">
      <c r="B1283" s="1"/>
      <c r="C1283" s="1"/>
      <c r="D1283" s="1"/>
      <c r="E1283" s="1"/>
      <c r="F1283" s="1"/>
      <c r="G1283" s="1"/>
      <c r="H1283" s="1"/>
      <c r="I1283" s="1"/>
      <c r="J1283" s="1"/>
      <c r="K1283" s="1"/>
      <c r="L1283" s="1"/>
      <c r="M1283" s="1"/>
      <c r="N1283" s="1"/>
      <c r="O1283" s="1"/>
    </row>
    <row r="1284" spans="2:15" x14ac:dyDescent="0.25">
      <c r="B1284" s="1"/>
      <c r="C1284" s="1"/>
      <c r="D1284" s="1"/>
      <c r="E1284" s="1"/>
      <c r="F1284" s="1"/>
      <c r="G1284" s="1"/>
      <c r="H1284" s="1"/>
      <c r="I1284" s="1"/>
      <c r="J1284" s="1"/>
      <c r="K1284" s="1"/>
      <c r="L1284" s="1"/>
      <c r="M1284" s="1"/>
      <c r="N1284" s="1"/>
      <c r="O1284" s="1"/>
    </row>
    <row r="1285" spans="2:15" x14ac:dyDescent="0.25">
      <c r="B1285" s="1"/>
      <c r="C1285" s="1"/>
      <c r="D1285" s="1"/>
      <c r="E1285" s="1"/>
      <c r="F1285" s="1"/>
      <c r="G1285" s="1"/>
      <c r="H1285" s="1"/>
      <c r="I1285" s="1"/>
      <c r="J1285" s="1"/>
      <c r="K1285" s="1"/>
      <c r="L1285" s="1"/>
      <c r="M1285" s="1"/>
      <c r="N1285" s="1"/>
      <c r="O1285" s="1"/>
    </row>
    <row r="1286" spans="2:15" x14ac:dyDescent="0.25">
      <c r="B1286" s="1"/>
      <c r="C1286" s="1"/>
      <c r="D1286" s="1"/>
      <c r="E1286" s="1"/>
      <c r="F1286" s="1"/>
      <c r="G1286" s="1"/>
      <c r="H1286" s="1"/>
      <c r="I1286" s="1"/>
      <c r="J1286" s="1"/>
      <c r="K1286" s="1"/>
      <c r="L1286" s="1"/>
      <c r="M1286" s="1"/>
      <c r="N1286" s="1"/>
      <c r="O1286" s="1"/>
    </row>
    <row r="1287" spans="2:15" x14ac:dyDescent="0.25">
      <c r="B1287" s="1"/>
      <c r="C1287" s="1"/>
      <c r="D1287" s="1"/>
      <c r="E1287" s="1"/>
      <c r="F1287" s="1"/>
      <c r="G1287" s="1"/>
      <c r="H1287" s="1"/>
      <c r="I1287" s="1"/>
      <c r="J1287" s="1"/>
      <c r="K1287" s="1"/>
      <c r="L1287" s="1"/>
      <c r="M1287" s="1"/>
      <c r="N1287" s="1"/>
      <c r="O1287" s="1"/>
    </row>
    <row r="1288" spans="2:15" x14ac:dyDescent="0.25">
      <c r="B1288" s="1"/>
      <c r="C1288" s="1"/>
      <c r="D1288" s="1"/>
      <c r="E1288" s="1"/>
      <c r="F1288" s="1"/>
      <c r="G1288" s="1"/>
      <c r="H1288" s="1"/>
      <c r="I1288" s="1"/>
      <c r="J1288" s="1"/>
      <c r="K1288" s="1"/>
      <c r="L1288" s="1"/>
      <c r="M1288" s="1"/>
      <c r="N1288" s="1"/>
      <c r="O1288" s="1"/>
    </row>
    <row r="1289" spans="2:15" x14ac:dyDescent="0.25">
      <c r="B1289" s="1"/>
      <c r="C1289" s="1"/>
      <c r="D1289" s="1"/>
      <c r="E1289" s="1"/>
      <c r="F1289" s="1"/>
      <c r="G1289" s="1"/>
      <c r="H1289" s="1"/>
      <c r="I1289" s="1"/>
      <c r="J1289" s="1"/>
      <c r="K1289" s="1"/>
      <c r="L1289" s="1"/>
      <c r="M1289" s="1"/>
      <c r="N1289" s="1"/>
      <c r="O1289" s="1"/>
    </row>
    <row r="1290" spans="2:15" x14ac:dyDescent="0.25">
      <c r="B1290" s="1"/>
      <c r="C1290" s="1"/>
      <c r="D1290" s="1"/>
      <c r="E1290" s="1"/>
      <c r="F1290" s="1"/>
      <c r="G1290" s="1"/>
      <c r="H1290" s="1"/>
      <c r="I1290" s="1"/>
      <c r="J1290" s="1"/>
      <c r="K1290" s="1"/>
      <c r="L1290" s="1"/>
      <c r="M1290" s="1"/>
      <c r="N1290" s="1"/>
      <c r="O1290" s="1"/>
    </row>
    <row r="1291" spans="2:15" x14ac:dyDescent="0.25">
      <c r="B1291" s="1"/>
      <c r="C1291" s="1"/>
      <c r="D1291" s="1"/>
      <c r="E1291" s="1"/>
      <c r="F1291" s="1"/>
      <c r="G1291" s="1"/>
      <c r="H1291" s="1"/>
      <c r="I1291" s="1"/>
      <c r="J1291" s="1"/>
      <c r="K1291" s="1"/>
      <c r="L1291" s="1"/>
      <c r="M1291" s="1"/>
      <c r="N1291" s="1"/>
      <c r="O1291" s="1"/>
    </row>
    <row r="1292" spans="2:15" x14ac:dyDescent="0.25">
      <c r="B1292" s="1"/>
      <c r="C1292" s="1"/>
      <c r="D1292" s="1"/>
      <c r="E1292" s="1"/>
      <c r="F1292" s="1"/>
      <c r="G1292" s="1"/>
      <c r="H1292" s="1"/>
      <c r="I1292" s="1"/>
      <c r="J1292" s="1"/>
      <c r="K1292" s="1"/>
      <c r="L1292" s="1"/>
      <c r="M1292" s="1"/>
      <c r="N1292" s="1"/>
      <c r="O1292" s="1"/>
    </row>
    <row r="1293" spans="2:15" x14ac:dyDescent="0.25">
      <c r="B1293" s="1"/>
      <c r="C1293" s="1"/>
      <c r="D1293" s="1"/>
      <c r="E1293" s="1"/>
      <c r="F1293" s="1"/>
      <c r="G1293" s="1"/>
      <c r="H1293" s="1"/>
      <c r="I1293" s="1"/>
      <c r="J1293" s="1"/>
      <c r="K1293" s="1"/>
      <c r="L1293" s="1"/>
      <c r="M1293" s="1"/>
      <c r="N1293" s="1"/>
      <c r="O1293" s="1"/>
    </row>
    <row r="1294" spans="2:15" x14ac:dyDescent="0.25">
      <c r="B1294" s="1"/>
      <c r="C1294" s="1"/>
      <c r="D1294" s="1"/>
      <c r="E1294" s="1"/>
      <c r="F1294" s="1"/>
      <c r="G1294" s="1"/>
      <c r="H1294" s="1"/>
      <c r="I1294" s="1"/>
      <c r="J1294" s="1"/>
      <c r="K1294" s="1"/>
      <c r="L1294" s="1"/>
      <c r="M1294" s="1"/>
      <c r="N1294" s="1"/>
      <c r="O1294" s="1"/>
    </row>
    <row r="1295" spans="2:15" x14ac:dyDescent="0.25">
      <c r="B1295" s="1"/>
      <c r="C1295" s="1"/>
      <c r="D1295" s="1"/>
      <c r="E1295" s="1"/>
      <c r="F1295" s="1"/>
      <c r="G1295" s="1"/>
      <c r="H1295" s="1"/>
      <c r="I1295" s="1"/>
      <c r="J1295" s="1"/>
      <c r="K1295" s="1"/>
      <c r="L1295" s="1"/>
      <c r="M1295" s="1"/>
      <c r="N1295" s="1"/>
      <c r="O1295" s="1"/>
    </row>
    <row r="1296" spans="2:15" x14ac:dyDescent="0.25">
      <c r="B1296" s="1"/>
      <c r="C1296" s="1"/>
      <c r="D1296" s="1"/>
      <c r="E1296" s="1"/>
      <c r="F1296" s="1"/>
      <c r="G1296" s="1"/>
      <c r="H1296" s="1"/>
      <c r="I1296" s="1"/>
      <c r="J1296" s="1"/>
      <c r="K1296" s="1"/>
      <c r="L1296" s="1"/>
      <c r="M1296" s="1"/>
      <c r="N1296" s="1"/>
      <c r="O1296" s="1"/>
    </row>
    <row r="1297" spans="2:15" x14ac:dyDescent="0.25">
      <c r="B1297" s="1"/>
      <c r="C1297" s="1"/>
      <c r="D1297" s="1"/>
      <c r="E1297" s="1"/>
      <c r="F1297" s="1"/>
      <c r="G1297" s="1"/>
      <c r="H1297" s="1"/>
      <c r="I1297" s="1"/>
      <c r="J1297" s="1"/>
      <c r="K1297" s="1"/>
      <c r="L1297" s="1"/>
      <c r="M1297" s="1"/>
      <c r="N1297" s="1"/>
      <c r="O1297" s="1"/>
    </row>
    <row r="1298" spans="2:15" x14ac:dyDescent="0.25">
      <c r="B1298" s="1"/>
      <c r="C1298" s="1"/>
      <c r="D1298" s="1"/>
      <c r="E1298" s="1"/>
      <c r="F1298" s="1"/>
      <c r="G1298" s="1"/>
      <c r="H1298" s="1"/>
      <c r="I1298" s="1"/>
      <c r="J1298" s="1"/>
      <c r="K1298" s="1"/>
      <c r="L1298" s="1"/>
      <c r="M1298" s="1"/>
      <c r="N1298" s="1"/>
      <c r="O1298" s="1"/>
    </row>
    <row r="1299" spans="2:15" x14ac:dyDescent="0.25">
      <c r="B1299" s="1"/>
      <c r="C1299" s="1"/>
      <c r="D1299" s="1"/>
      <c r="E1299" s="1"/>
      <c r="F1299" s="1"/>
      <c r="G1299" s="1"/>
      <c r="H1299" s="1"/>
      <c r="I1299" s="1"/>
      <c r="J1299" s="1"/>
      <c r="K1299" s="1"/>
      <c r="L1299" s="1"/>
      <c r="M1299" s="1"/>
      <c r="N1299" s="1"/>
      <c r="O1299" s="1"/>
    </row>
    <row r="1300" spans="2:15" x14ac:dyDescent="0.25">
      <c r="B1300" s="1"/>
      <c r="C1300" s="1"/>
      <c r="D1300" s="1"/>
      <c r="E1300" s="1"/>
      <c r="F1300" s="1"/>
      <c r="G1300" s="1"/>
      <c r="H1300" s="1"/>
      <c r="I1300" s="1"/>
      <c r="J1300" s="1"/>
      <c r="K1300" s="1"/>
      <c r="L1300" s="1"/>
      <c r="M1300" s="1"/>
      <c r="N1300" s="1"/>
      <c r="O1300" s="1"/>
    </row>
    <row r="1301" spans="2:15" x14ac:dyDescent="0.25">
      <c r="B1301" s="1"/>
      <c r="C1301" s="1"/>
      <c r="D1301" s="1"/>
      <c r="E1301" s="1"/>
      <c r="F1301" s="1"/>
      <c r="G1301" s="1"/>
      <c r="H1301" s="1"/>
      <c r="I1301" s="1"/>
      <c r="J1301" s="1"/>
      <c r="K1301" s="1"/>
      <c r="L1301" s="1"/>
      <c r="M1301" s="1"/>
      <c r="N1301" s="1"/>
      <c r="O1301" s="1"/>
    </row>
    <row r="1302" spans="2:15" x14ac:dyDescent="0.25">
      <c r="B1302" s="1"/>
      <c r="C1302" s="1"/>
      <c r="D1302" s="1"/>
      <c r="E1302" s="1"/>
      <c r="F1302" s="1"/>
      <c r="G1302" s="1"/>
      <c r="H1302" s="1"/>
      <c r="I1302" s="1"/>
      <c r="J1302" s="1"/>
      <c r="K1302" s="1"/>
      <c r="L1302" s="1"/>
      <c r="M1302" s="1"/>
      <c r="N1302" s="1"/>
      <c r="O1302" s="1"/>
    </row>
    <row r="1303" spans="2:15" x14ac:dyDescent="0.25">
      <c r="B1303" s="1"/>
      <c r="C1303" s="1"/>
      <c r="D1303" s="1"/>
      <c r="E1303" s="1"/>
      <c r="F1303" s="1"/>
      <c r="G1303" s="1"/>
      <c r="H1303" s="1"/>
      <c r="I1303" s="1"/>
      <c r="J1303" s="1"/>
      <c r="K1303" s="1"/>
      <c r="L1303" s="1"/>
      <c r="M1303" s="1"/>
      <c r="N1303" s="1"/>
      <c r="O1303" s="1"/>
    </row>
    <row r="1304" spans="2:15" x14ac:dyDescent="0.25">
      <c r="B1304" s="1"/>
      <c r="C1304" s="1"/>
      <c r="D1304" s="1"/>
      <c r="E1304" s="1"/>
      <c r="F1304" s="1"/>
      <c r="G1304" s="1"/>
      <c r="H1304" s="1"/>
      <c r="I1304" s="1"/>
      <c r="J1304" s="1"/>
      <c r="K1304" s="1"/>
      <c r="L1304" s="1"/>
      <c r="M1304" s="1"/>
      <c r="N1304" s="1"/>
      <c r="O1304" s="1"/>
    </row>
    <row r="1305" spans="2:15" x14ac:dyDescent="0.25">
      <c r="B1305" s="1"/>
      <c r="C1305" s="1"/>
      <c r="D1305" s="1"/>
      <c r="E1305" s="1"/>
      <c r="F1305" s="1"/>
      <c r="G1305" s="1"/>
      <c r="H1305" s="1"/>
      <c r="I1305" s="1"/>
      <c r="J1305" s="1"/>
      <c r="K1305" s="1"/>
      <c r="L1305" s="1"/>
      <c r="M1305" s="1"/>
      <c r="N1305" s="1"/>
      <c r="O1305" s="1"/>
    </row>
    <row r="1306" spans="2:15" x14ac:dyDescent="0.25">
      <c r="B1306" s="1"/>
      <c r="C1306" s="1"/>
      <c r="D1306" s="1"/>
      <c r="E1306" s="1"/>
      <c r="F1306" s="1"/>
      <c r="G1306" s="1"/>
      <c r="H1306" s="1"/>
      <c r="I1306" s="1"/>
      <c r="J1306" s="1"/>
      <c r="K1306" s="1"/>
      <c r="L1306" s="1"/>
      <c r="M1306" s="1"/>
      <c r="N1306" s="1"/>
      <c r="O1306" s="1"/>
    </row>
    <row r="1307" spans="2:15" x14ac:dyDescent="0.25">
      <c r="B1307" s="1"/>
      <c r="C1307" s="1"/>
      <c r="D1307" s="1"/>
      <c r="E1307" s="1"/>
      <c r="F1307" s="1"/>
      <c r="G1307" s="1"/>
      <c r="H1307" s="1"/>
      <c r="I1307" s="1"/>
      <c r="J1307" s="1"/>
      <c r="K1307" s="1"/>
      <c r="L1307" s="1"/>
      <c r="M1307" s="1"/>
      <c r="N1307" s="1"/>
      <c r="O1307" s="1"/>
    </row>
    <row r="1308" spans="2:15" x14ac:dyDescent="0.25">
      <c r="B1308" s="1"/>
      <c r="C1308" s="1"/>
      <c r="D1308" s="1"/>
      <c r="E1308" s="1"/>
      <c r="F1308" s="1"/>
      <c r="G1308" s="1"/>
      <c r="H1308" s="1"/>
      <c r="I1308" s="1"/>
      <c r="J1308" s="1"/>
      <c r="K1308" s="1"/>
      <c r="L1308" s="1"/>
      <c r="M1308" s="1"/>
      <c r="N1308" s="1"/>
      <c r="O1308" s="1"/>
    </row>
    <row r="1309" spans="2:15" x14ac:dyDescent="0.25">
      <c r="B1309" s="1"/>
      <c r="C1309" s="1"/>
      <c r="D1309" s="1"/>
      <c r="E1309" s="1"/>
      <c r="F1309" s="1"/>
      <c r="G1309" s="1"/>
      <c r="H1309" s="1"/>
      <c r="I1309" s="1"/>
      <c r="J1309" s="1"/>
      <c r="K1309" s="1"/>
      <c r="L1309" s="1"/>
      <c r="M1309" s="1"/>
      <c r="N1309" s="1"/>
      <c r="O1309" s="1"/>
    </row>
    <row r="1310" spans="2:15" x14ac:dyDescent="0.25">
      <c r="B1310" s="1"/>
      <c r="C1310" s="1"/>
      <c r="D1310" s="1"/>
      <c r="E1310" s="1"/>
      <c r="F1310" s="1"/>
      <c r="G1310" s="1"/>
      <c r="H1310" s="1"/>
      <c r="I1310" s="1"/>
      <c r="J1310" s="1"/>
      <c r="K1310" s="1"/>
      <c r="L1310" s="1"/>
      <c r="M1310" s="1"/>
      <c r="N1310" s="1"/>
      <c r="O1310" s="1"/>
    </row>
    <row r="1311" spans="2:15" x14ac:dyDescent="0.25">
      <c r="B1311" s="1"/>
      <c r="C1311" s="1"/>
      <c r="D1311" s="1"/>
      <c r="E1311" s="1"/>
      <c r="F1311" s="1"/>
      <c r="G1311" s="1"/>
      <c r="H1311" s="1"/>
      <c r="I1311" s="1"/>
      <c r="J1311" s="1"/>
      <c r="K1311" s="1"/>
      <c r="L1311" s="1"/>
      <c r="M1311" s="1"/>
      <c r="N1311" s="1"/>
      <c r="O1311" s="1"/>
    </row>
    <row r="1312" spans="2:15" x14ac:dyDescent="0.25">
      <c r="B1312" s="1"/>
      <c r="C1312" s="1"/>
      <c r="D1312" s="1"/>
      <c r="E1312" s="1"/>
      <c r="F1312" s="1"/>
      <c r="G1312" s="1"/>
      <c r="H1312" s="1"/>
      <c r="I1312" s="1"/>
      <c r="J1312" s="1"/>
      <c r="K1312" s="1"/>
      <c r="L1312" s="1"/>
      <c r="M1312" s="1"/>
      <c r="N1312" s="1"/>
      <c r="O1312" s="1"/>
    </row>
    <row r="1313" spans="2:15" x14ac:dyDescent="0.25">
      <c r="B1313" s="1"/>
      <c r="C1313" s="1"/>
      <c r="D1313" s="1"/>
      <c r="E1313" s="1"/>
      <c r="F1313" s="1"/>
      <c r="G1313" s="1"/>
      <c r="H1313" s="1"/>
      <c r="I1313" s="1"/>
      <c r="J1313" s="1"/>
      <c r="K1313" s="1"/>
      <c r="L1313" s="1"/>
      <c r="M1313" s="1"/>
      <c r="N1313" s="1"/>
      <c r="O1313" s="1"/>
    </row>
    <row r="1314" spans="2:15" x14ac:dyDescent="0.25">
      <c r="B1314" s="1"/>
      <c r="C1314" s="1"/>
      <c r="D1314" s="1"/>
      <c r="E1314" s="1"/>
      <c r="F1314" s="1"/>
      <c r="G1314" s="1"/>
      <c r="H1314" s="1"/>
      <c r="I1314" s="1"/>
      <c r="J1314" s="1"/>
      <c r="K1314" s="1"/>
      <c r="L1314" s="1"/>
      <c r="M1314" s="1"/>
      <c r="N1314" s="1"/>
      <c r="O1314" s="1"/>
    </row>
    <row r="1315" spans="2:15" x14ac:dyDescent="0.25">
      <c r="B1315" s="1"/>
      <c r="C1315" s="1"/>
      <c r="D1315" s="1"/>
      <c r="E1315" s="1"/>
      <c r="F1315" s="1"/>
      <c r="G1315" s="1"/>
      <c r="H1315" s="1"/>
      <c r="I1315" s="1"/>
      <c r="J1315" s="1"/>
      <c r="K1315" s="1"/>
      <c r="L1315" s="1"/>
      <c r="M1315" s="1"/>
      <c r="N1315" s="1"/>
      <c r="O1315" s="1"/>
    </row>
    <row r="1316" spans="2:15" x14ac:dyDescent="0.25">
      <c r="B1316" s="1"/>
      <c r="C1316" s="1"/>
      <c r="D1316" s="1"/>
      <c r="E1316" s="1"/>
      <c r="F1316" s="1"/>
      <c r="G1316" s="1"/>
      <c r="H1316" s="1"/>
      <c r="I1316" s="1"/>
      <c r="J1316" s="1"/>
      <c r="K1316" s="1"/>
      <c r="L1316" s="1"/>
      <c r="M1316" s="1"/>
      <c r="N1316" s="1"/>
      <c r="O1316" s="1"/>
    </row>
    <row r="1317" spans="2:15" x14ac:dyDescent="0.25">
      <c r="B1317" s="1"/>
      <c r="C1317" s="1"/>
      <c r="D1317" s="1"/>
      <c r="E1317" s="1"/>
      <c r="F1317" s="1"/>
      <c r="G1317" s="1"/>
      <c r="H1317" s="1"/>
      <c r="I1317" s="1"/>
      <c r="J1317" s="1"/>
      <c r="K1317" s="1"/>
      <c r="L1317" s="1"/>
      <c r="M1317" s="1"/>
      <c r="N1317" s="1"/>
      <c r="O1317" s="1"/>
    </row>
    <row r="1318" spans="2:15" x14ac:dyDescent="0.25">
      <c r="B1318" s="1"/>
      <c r="C1318" s="1"/>
      <c r="D1318" s="1"/>
      <c r="E1318" s="1"/>
      <c r="F1318" s="1"/>
      <c r="G1318" s="1"/>
      <c r="H1318" s="1"/>
      <c r="I1318" s="1"/>
      <c r="J1318" s="1"/>
      <c r="K1318" s="1"/>
      <c r="L1318" s="1"/>
      <c r="M1318" s="1"/>
      <c r="N1318" s="1"/>
      <c r="O1318" s="1"/>
    </row>
    <row r="1319" spans="2:15" x14ac:dyDescent="0.25">
      <c r="B1319" s="1"/>
      <c r="C1319" s="1"/>
      <c r="D1319" s="1"/>
      <c r="E1319" s="1"/>
      <c r="F1319" s="1"/>
      <c r="G1319" s="1"/>
      <c r="H1319" s="1"/>
      <c r="I1319" s="1"/>
      <c r="J1319" s="1"/>
      <c r="K1319" s="1"/>
      <c r="L1319" s="1"/>
      <c r="M1319" s="1"/>
      <c r="N1319" s="1"/>
      <c r="O1319" s="1"/>
    </row>
    <row r="1320" spans="2:15" x14ac:dyDescent="0.25">
      <c r="B1320" s="1"/>
      <c r="C1320" s="1"/>
      <c r="D1320" s="1"/>
      <c r="E1320" s="1"/>
      <c r="F1320" s="1"/>
      <c r="G1320" s="1"/>
      <c r="H1320" s="1"/>
      <c r="I1320" s="1"/>
      <c r="J1320" s="1"/>
      <c r="K1320" s="1"/>
      <c r="L1320" s="1"/>
      <c r="M1320" s="1"/>
      <c r="N1320" s="1"/>
      <c r="O1320" s="1"/>
    </row>
    <row r="1321" spans="2:15" x14ac:dyDescent="0.25">
      <c r="B1321" s="1"/>
      <c r="C1321" s="1"/>
      <c r="D1321" s="1"/>
      <c r="E1321" s="1"/>
      <c r="F1321" s="1"/>
      <c r="G1321" s="1"/>
      <c r="H1321" s="1"/>
      <c r="I1321" s="1"/>
      <c r="J1321" s="1"/>
      <c r="K1321" s="1"/>
      <c r="L1321" s="1"/>
      <c r="M1321" s="1"/>
      <c r="N1321" s="1"/>
      <c r="O1321" s="1"/>
    </row>
    <row r="1322" spans="2:15" x14ac:dyDescent="0.25">
      <c r="B1322" s="1"/>
      <c r="C1322" s="1"/>
      <c r="D1322" s="1"/>
      <c r="E1322" s="1"/>
      <c r="F1322" s="1"/>
      <c r="G1322" s="1"/>
      <c r="H1322" s="1"/>
      <c r="I1322" s="1"/>
      <c r="J1322" s="1"/>
      <c r="K1322" s="1"/>
      <c r="L1322" s="1"/>
      <c r="M1322" s="1"/>
      <c r="N1322" s="1"/>
      <c r="O1322" s="1"/>
    </row>
    <row r="1323" spans="2:15" x14ac:dyDescent="0.25">
      <c r="B1323" s="1"/>
      <c r="C1323" s="1"/>
      <c r="D1323" s="1"/>
      <c r="E1323" s="1"/>
      <c r="F1323" s="1"/>
      <c r="G1323" s="1"/>
      <c r="H1323" s="1"/>
      <c r="I1323" s="1"/>
      <c r="J1323" s="1"/>
      <c r="K1323" s="1"/>
      <c r="L1323" s="1"/>
      <c r="M1323" s="1"/>
      <c r="N1323" s="1"/>
      <c r="O1323" s="1"/>
    </row>
    <row r="1324" spans="2:15" x14ac:dyDescent="0.25">
      <c r="B1324" s="1"/>
      <c r="C1324" s="1"/>
      <c r="D1324" s="1"/>
      <c r="E1324" s="1"/>
      <c r="F1324" s="1"/>
      <c r="G1324" s="1"/>
      <c r="H1324" s="1"/>
      <c r="I1324" s="1"/>
      <c r="J1324" s="1"/>
      <c r="K1324" s="1"/>
      <c r="L1324" s="1"/>
      <c r="M1324" s="1"/>
      <c r="N1324" s="1"/>
      <c r="O1324" s="1"/>
    </row>
    <row r="1325" spans="2:15" x14ac:dyDescent="0.25">
      <c r="B1325" s="1"/>
      <c r="C1325" s="1"/>
      <c r="D1325" s="1"/>
      <c r="E1325" s="1"/>
      <c r="F1325" s="1"/>
      <c r="G1325" s="1"/>
      <c r="H1325" s="1"/>
      <c r="I1325" s="1"/>
      <c r="J1325" s="1"/>
      <c r="K1325" s="1"/>
      <c r="L1325" s="1"/>
      <c r="M1325" s="1"/>
      <c r="N1325" s="1"/>
      <c r="O1325" s="1"/>
    </row>
    <row r="1326" spans="2:15" x14ac:dyDescent="0.25">
      <c r="B1326" s="1"/>
      <c r="C1326" s="1"/>
      <c r="D1326" s="1"/>
      <c r="E1326" s="1"/>
      <c r="F1326" s="1"/>
      <c r="G1326" s="1"/>
      <c r="H1326" s="1"/>
      <c r="I1326" s="1"/>
      <c r="J1326" s="1"/>
      <c r="K1326" s="1"/>
      <c r="L1326" s="1"/>
      <c r="M1326" s="1"/>
      <c r="N1326" s="1"/>
      <c r="O1326" s="1"/>
    </row>
    <row r="1327" spans="2:15" x14ac:dyDescent="0.25">
      <c r="B1327" s="1"/>
      <c r="C1327" s="1"/>
      <c r="D1327" s="1"/>
      <c r="E1327" s="1"/>
      <c r="F1327" s="1"/>
      <c r="G1327" s="1"/>
      <c r="H1327" s="1"/>
      <c r="I1327" s="1"/>
      <c r="J1327" s="1"/>
      <c r="K1327" s="1"/>
      <c r="L1327" s="1"/>
      <c r="M1327" s="1"/>
      <c r="N1327" s="1"/>
      <c r="O1327" s="1"/>
    </row>
    <row r="1328" spans="2:15" x14ac:dyDescent="0.25">
      <c r="B1328" s="1"/>
      <c r="C1328" s="1"/>
      <c r="D1328" s="1"/>
      <c r="E1328" s="1"/>
      <c r="F1328" s="1"/>
      <c r="G1328" s="1"/>
      <c r="H1328" s="1"/>
      <c r="I1328" s="1"/>
      <c r="J1328" s="1"/>
      <c r="K1328" s="1"/>
      <c r="L1328" s="1"/>
      <c r="M1328" s="1"/>
      <c r="N1328" s="1"/>
      <c r="O1328" s="1"/>
    </row>
    <row r="1329" spans="2:15" x14ac:dyDescent="0.25">
      <c r="B1329" s="1"/>
      <c r="C1329" s="1"/>
      <c r="D1329" s="1"/>
      <c r="E1329" s="1"/>
      <c r="F1329" s="1"/>
      <c r="G1329" s="1"/>
      <c r="H1329" s="1"/>
      <c r="I1329" s="1"/>
      <c r="J1329" s="1"/>
      <c r="K1329" s="1"/>
      <c r="L1329" s="1"/>
      <c r="M1329" s="1"/>
      <c r="N1329" s="1"/>
      <c r="O1329" s="1"/>
    </row>
    <row r="1330" spans="2:15" x14ac:dyDescent="0.25">
      <c r="B1330" s="1"/>
      <c r="C1330" s="1"/>
      <c r="D1330" s="1"/>
      <c r="E1330" s="1"/>
      <c r="F1330" s="1"/>
      <c r="G1330" s="1"/>
      <c r="H1330" s="1"/>
      <c r="I1330" s="1"/>
      <c r="J1330" s="1"/>
      <c r="K1330" s="1"/>
      <c r="L1330" s="1"/>
      <c r="M1330" s="1"/>
      <c r="N1330" s="1"/>
      <c r="O1330" s="1"/>
    </row>
    <row r="1331" spans="2:15" x14ac:dyDescent="0.25">
      <c r="B1331" s="1"/>
      <c r="C1331" s="1"/>
      <c r="D1331" s="1"/>
      <c r="E1331" s="1"/>
      <c r="F1331" s="1"/>
      <c r="G1331" s="1"/>
      <c r="H1331" s="1"/>
      <c r="I1331" s="1"/>
      <c r="J1331" s="1"/>
      <c r="K1331" s="1"/>
      <c r="L1331" s="1"/>
      <c r="M1331" s="1"/>
      <c r="N1331" s="1"/>
      <c r="O1331" s="1"/>
    </row>
    <row r="1332" spans="2:15" x14ac:dyDescent="0.25">
      <c r="B1332" s="1"/>
      <c r="C1332" s="1"/>
      <c r="D1332" s="1"/>
      <c r="E1332" s="1"/>
      <c r="F1332" s="1"/>
      <c r="G1332" s="1"/>
      <c r="H1332" s="1"/>
      <c r="I1332" s="1"/>
      <c r="J1332" s="1"/>
      <c r="K1332" s="1"/>
      <c r="L1332" s="1"/>
      <c r="M1332" s="1"/>
      <c r="N1332" s="1"/>
      <c r="O1332" s="1"/>
    </row>
    <row r="1333" spans="2:15" x14ac:dyDescent="0.25">
      <c r="B1333" s="1"/>
      <c r="C1333" s="1"/>
      <c r="D1333" s="1"/>
      <c r="E1333" s="1"/>
      <c r="F1333" s="1"/>
      <c r="G1333" s="1"/>
      <c r="H1333" s="1"/>
      <c r="I1333" s="1"/>
      <c r="J1333" s="1"/>
      <c r="K1333" s="1"/>
      <c r="L1333" s="1"/>
      <c r="M1333" s="1"/>
      <c r="N1333" s="1"/>
      <c r="O1333" s="1"/>
    </row>
    <row r="1334" spans="2:15" x14ac:dyDescent="0.25">
      <c r="B1334" s="1"/>
      <c r="C1334" s="1"/>
      <c r="D1334" s="1"/>
      <c r="E1334" s="1"/>
      <c r="F1334" s="1"/>
      <c r="G1334" s="1"/>
      <c r="H1334" s="1"/>
      <c r="I1334" s="1"/>
      <c r="J1334" s="1"/>
      <c r="K1334" s="1"/>
      <c r="L1334" s="1"/>
      <c r="M1334" s="1"/>
      <c r="N1334" s="1"/>
      <c r="O1334" s="1"/>
    </row>
    <row r="1335" spans="2:15" x14ac:dyDescent="0.25">
      <c r="B1335" s="1"/>
      <c r="C1335" s="1"/>
      <c r="D1335" s="1"/>
      <c r="E1335" s="1"/>
      <c r="F1335" s="1"/>
      <c r="G1335" s="1"/>
      <c r="H1335" s="1"/>
      <c r="I1335" s="1"/>
      <c r="J1335" s="1"/>
      <c r="K1335" s="1"/>
      <c r="L1335" s="1"/>
      <c r="M1335" s="1"/>
      <c r="N1335" s="1"/>
      <c r="O1335" s="1"/>
    </row>
    <row r="1336" spans="2:15" x14ac:dyDescent="0.25">
      <c r="B1336" s="1"/>
      <c r="C1336" s="1"/>
      <c r="D1336" s="1"/>
      <c r="E1336" s="1"/>
      <c r="F1336" s="1"/>
      <c r="G1336" s="1"/>
      <c r="H1336" s="1"/>
      <c r="I1336" s="1"/>
      <c r="J1336" s="1"/>
      <c r="K1336" s="1"/>
      <c r="L1336" s="1"/>
      <c r="M1336" s="1"/>
      <c r="N1336" s="1"/>
      <c r="O1336" s="1"/>
    </row>
    <row r="1337" spans="2:15" x14ac:dyDescent="0.25">
      <c r="B1337" s="1"/>
      <c r="C1337" s="1"/>
      <c r="D1337" s="1"/>
      <c r="E1337" s="1"/>
      <c r="F1337" s="1"/>
      <c r="G1337" s="1"/>
      <c r="H1337" s="1"/>
      <c r="I1337" s="1"/>
      <c r="J1337" s="1"/>
      <c r="K1337" s="1"/>
      <c r="L1337" s="1"/>
      <c r="M1337" s="1"/>
      <c r="N1337" s="1"/>
      <c r="O1337" s="1"/>
    </row>
    <row r="1338" spans="2:15" x14ac:dyDescent="0.25">
      <c r="B1338" s="1"/>
      <c r="C1338" s="1"/>
      <c r="D1338" s="1"/>
      <c r="E1338" s="1"/>
      <c r="F1338" s="1"/>
      <c r="G1338" s="1"/>
      <c r="H1338" s="1"/>
      <c r="I1338" s="1"/>
      <c r="J1338" s="1"/>
      <c r="K1338" s="1"/>
      <c r="L1338" s="1"/>
      <c r="M1338" s="1"/>
      <c r="N1338" s="1"/>
      <c r="O1338" s="1"/>
    </row>
    <row r="1339" spans="2:15" x14ac:dyDescent="0.25">
      <c r="B1339" s="1"/>
      <c r="C1339" s="1"/>
      <c r="D1339" s="1"/>
      <c r="E1339" s="1"/>
      <c r="F1339" s="1"/>
      <c r="G1339" s="1"/>
      <c r="H1339" s="1"/>
      <c r="I1339" s="1"/>
      <c r="J1339" s="1"/>
      <c r="K1339" s="1"/>
      <c r="L1339" s="1"/>
      <c r="M1339" s="1"/>
      <c r="N1339" s="1"/>
      <c r="O1339" s="1"/>
    </row>
    <row r="1340" spans="2:15" x14ac:dyDescent="0.25">
      <c r="B1340" s="1"/>
      <c r="C1340" s="1"/>
      <c r="D1340" s="1"/>
      <c r="E1340" s="1"/>
      <c r="F1340" s="1"/>
      <c r="G1340" s="1"/>
      <c r="H1340" s="1"/>
      <c r="I1340" s="1"/>
      <c r="J1340" s="1"/>
      <c r="K1340" s="1"/>
      <c r="L1340" s="1"/>
      <c r="M1340" s="1"/>
      <c r="N1340" s="1"/>
      <c r="O1340" s="1"/>
    </row>
    <row r="1341" spans="2:15" x14ac:dyDescent="0.25">
      <c r="B1341" s="1"/>
      <c r="C1341" s="1"/>
      <c r="D1341" s="1"/>
      <c r="E1341" s="1"/>
      <c r="F1341" s="1"/>
      <c r="G1341" s="1"/>
      <c r="H1341" s="1"/>
      <c r="I1341" s="1"/>
      <c r="J1341" s="1"/>
      <c r="K1341" s="1"/>
      <c r="L1341" s="1"/>
      <c r="M1341" s="1"/>
      <c r="N1341" s="1"/>
      <c r="O1341" s="1"/>
    </row>
    <row r="1342" spans="2:15" x14ac:dyDescent="0.25">
      <c r="B1342" s="1"/>
      <c r="C1342" s="1"/>
      <c r="D1342" s="1"/>
      <c r="E1342" s="1"/>
      <c r="F1342" s="1"/>
      <c r="G1342" s="1"/>
      <c r="H1342" s="1"/>
      <c r="I1342" s="1"/>
      <c r="J1342" s="1"/>
      <c r="K1342" s="1"/>
      <c r="L1342" s="1"/>
      <c r="M1342" s="1"/>
      <c r="N1342" s="1"/>
      <c r="O1342" s="1"/>
    </row>
    <row r="1343" spans="2:15" x14ac:dyDescent="0.25">
      <c r="B1343" s="1"/>
      <c r="C1343" s="1"/>
      <c r="D1343" s="1"/>
      <c r="E1343" s="1"/>
      <c r="F1343" s="1"/>
      <c r="G1343" s="1"/>
      <c r="H1343" s="1"/>
      <c r="I1343" s="1"/>
      <c r="J1343" s="1"/>
      <c r="K1343" s="1"/>
      <c r="L1343" s="1"/>
      <c r="M1343" s="1"/>
      <c r="N1343" s="1"/>
      <c r="O1343" s="1"/>
    </row>
    <row r="1344" spans="2:15" x14ac:dyDescent="0.25">
      <c r="B1344" s="1"/>
      <c r="C1344" s="1"/>
      <c r="D1344" s="1"/>
      <c r="E1344" s="1"/>
      <c r="F1344" s="1"/>
      <c r="G1344" s="1"/>
      <c r="H1344" s="1"/>
      <c r="I1344" s="1"/>
      <c r="J1344" s="1"/>
      <c r="K1344" s="1"/>
      <c r="L1344" s="1"/>
      <c r="M1344" s="1"/>
      <c r="N1344" s="1"/>
      <c r="O1344" s="1"/>
    </row>
    <row r="1345" spans="2:15" x14ac:dyDescent="0.25">
      <c r="B1345" s="1"/>
      <c r="C1345" s="1"/>
      <c r="D1345" s="1"/>
      <c r="E1345" s="1"/>
      <c r="F1345" s="1"/>
      <c r="G1345" s="1"/>
      <c r="H1345" s="1"/>
      <c r="I1345" s="1"/>
      <c r="J1345" s="1"/>
      <c r="K1345" s="1"/>
      <c r="L1345" s="1"/>
      <c r="M1345" s="1"/>
      <c r="N1345" s="1"/>
      <c r="O1345" s="1"/>
    </row>
    <row r="1346" spans="2:15" x14ac:dyDescent="0.25">
      <c r="B1346" s="1"/>
      <c r="C1346" s="1"/>
      <c r="D1346" s="1"/>
      <c r="E1346" s="1"/>
      <c r="F1346" s="1"/>
      <c r="G1346" s="1"/>
      <c r="H1346" s="1"/>
      <c r="I1346" s="1"/>
      <c r="J1346" s="1"/>
      <c r="K1346" s="1"/>
      <c r="L1346" s="1"/>
      <c r="M1346" s="1"/>
      <c r="N1346" s="1"/>
      <c r="O1346" s="1"/>
    </row>
    <row r="1347" spans="2:15" x14ac:dyDescent="0.25">
      <c r="B1347" s="1"/>
      <c r="C1347" s="1"/>
      <c r="D1347" s="1"/>
      <c r="E1347" s="1"/>
      <c r="F1347" s="1"/>
      <c r="G1347" s="1"/>
      <c r="H1347" s="1"/>
      <c r="I1347" s="1"/>
      <c r="J1347" s="1"/>
      <c r="K1347" s="1"/>
      <c r="L1347" s="1"/>
      <c r="M1347" s="1"/>
      <c r="N1347" s="1"/>
      <c r="O1347" s="1"/>
    </row>
    <row r="1348" spans="2:15" x14ac:dyDescent="0.25">
      <c r="B1348" s="1"/>
      <c r="C1348" s="1"/>
      <c r="D1348" s="1"/>
      <c r="E1348" s="1"/>
      <c r="F1348" s="1"/>
      <c r="G1348" s="1"/>
      <c r="H1348" s="1"/>
      <c r="I1348" s="1"/>
      <c r="J1348" s="1"/>
      <c r="K1348" s="1"/>
      <c r="L1348" s="1"/>
      <c r="M1348" s="1"/>
      <c r="N1348" s="1"/>
      <c r="O1348" s="1"/>
    </row>
    <row r="1349" spans="2:15" x14ac:dyDescent="0.25">
      <c r="B1349" s="1"/>
      <c r="C1349" s="1"/>
      <c r="D1349" s="1"/>
      <c r="E1349" s="1"/>
      <c r="F1349" s="1"/>
      <c r="G1349" s="1"/>
      <c r="H1349" s="1"/>
      <c r="I1349" s="1"/>
      <c r="J1349" s="1"/>
      <c r="K1349" s="1"/>
      <c r="L1349" s="1"/>
      <c r="M1349" s="1"/>
      <c r="N1349" s="1"/>
      <c r="O1349" s="1"/>
    </row>
    <row r="1350" spans="2:15" x14ac:dyDescent="0.25">
      <c r="B1350" s="1"/>
      <c r="C1350" s="1"/>
      <c r="D1350" s="1"/>
      <c r="E1350" s="1"/>
      <c r="F1350" s="1"/>
      <c r="G1350" s="1"/>
      <c r="H1350" s="1"/>
      <c r="I1350" s="1"/>
      <c r="J1350" s="1"/>
      <c r="K1350" s="1"/>
      <c r="L1350" s="1"/>
      <c r="M1350" s="1"/>
      <c r="N1350" s="1"/>
      <c r="O1350" s="1"/>
    </row>
    <row r="1351" spans="2:15" x14ac:dyDescent="0.25">
      <c r="B1351" s="1"/>
      <c r="C1351" s="1"/>
      <c r="D1351" s="1"/>
      <c r="E1351" s="1"/>
      <c r="F1351" s="1"/>
      <c r="G1351" s="1"/>
      <c r="H1351" s="1"/>
      <c r="I1351" s="1"/>
      <c r="J1351" s="1"/>
      <c r="K1351" s="1"/>
      <c r="L1351" s="1"/>
      <c r="M1351" s="1"/>
      <c r="N1351" s="1"/>
      <c r="O1351" s="1"/>
    </row>
    <row r="1352" spans="2:15" x14ac:dyDescent="0.25">
      <c r="B1352" s="1"/>
      <c r="C1352" s="1"/>
      <c r="D1352" s="1"/>
      <c r="E1352" s="1"/>
      <c r="F1352" s="1"/>
      <c r="G1352" s="1"/>
      <c r="H1352" s="1"/>
      <c r="I1352" s="1"/>
      <c r="J1352" s="1"/>
      <c r="K1352" s="1"/>
      <c r="L1352" s="1"/>
      <c r="M1352" s="1"/>
      <c r="N1352" s="1"/>
      <c r="O1352" s="1"/>
    </row>
    <row r="1353" spans="2:15" x14ac:dyDescent="0.25">
      <c r="B1353" s="1"/>
      <c r="C1353" s="1"/>
      <c r="D1353" s="1"/>
      <c r="E1353" s="1"/>
      <c r="F1353" s="1"/>
      <c r="G1353" s="1"/>
      <c r="H1353" s="1"/>
      <c r="I1353" s="1"/>
      <c r="J1353" s="1"/>
      <c r="K1353" s="1"/>
      <c r="L1353" s="1"/>
      <c r="M1353" s="1"/>
      <c r="N1353" s="1"/>
      <c r="O1353" s="1"/>
    </row>
    <row r="1354" spans="2:15" x14ac:dyDescent="0.25">
      <c r="B1354" s="1"/>
      <c r="C1354" s="1"/>
      <c r="D1354" s="1"/>
      <c r="E1354" s="1"/>
      <c r="F1354" s="1"/>
      <c r="G1354" s="1"/>
      <c r="H1354" s="1"/>
      <c r="I1354" s="1"/>
      <c r="J1354" s="1"/>
      <c r="K1354" s="1"/>
      <c r="L1354" s="1"/>
      <c r="M1354" s="1"/>
      <c r="N1354" s="1"/>
      <c r="O1354" s="1"/>
    </row>
    <row r="1355" spans="2:15" x14ac:dyDescent="0.25">
      <c r="B1355" s="1"/>
      <c r="C1355" s="1"/>
      <c r="D1355" s="1"/>
      <c r="E1355" s="1"/>
      <c r="F1355" s="1"/>
      <c r="G1355" s="1"/>
      <c r="H1355" s="1"/>
      <c r="I1355" s="1"/>
      <c r="J1355" s="1"/>
      <c r="K1355" s="1"/>
      <c r="L1355" s="1"/>
      <c r="M1355" s="1"/>
      <c r="N1355" s="1"/>
      <c r="O1355" s="1"/>
    </row>
    <row r="1356" spans="2:15" x14ac:dyDescent="0.25">
      <c r="B1356" s="1"/>
      <c r="C1356" s="1"/>
      <c r="D1356" s="1"/>
      <c r="E1356" s="1"/>
      <c r="F1356" s="1"/>
      <c r="G1356" s="1"/>
      <c r="H1356" s="1"/>
      <c r="I1356" s="1"/>
      <c r="J1356" s="1"/>
      <c r="K1356" s="1"/>
      <c r="L1356" s="1"/>
      <c r="M1356" s="1"/>
      <c r="N1356" s="1"/>
      <c r="O1356" s="1"/>
    </row>
    <row r="1357" spans="2:15" x14ac:dyDescent="0.25">
      <c r="B1357" s="1"/>
      <c r="C1357" s="1"/>
      <c r="D1357" s="1"/>
      <c r="E1357" s="1"/>
      <c r="F1357" s="1"/>
      <c r="G1357" s="1"/>
      <c r="H1357" s="1"/>
      <c r="I1357" s="1"/>
      <c r="J1357" s="1"/>
      <c r="K1357" s="1"/>
      <c r="L1357" s="1"/>
      <c r="M1357" s="1"/>
      <c r="N1357" s="1"/>
      <c r="O1357" s="1"/>
    </row>
    <row r="1358" spans="2:15" x14ac:dyDescent="0.25">
      <c r="B1358" s="1"/>
      <c r="C1358" s="1"/>
      <c r="D1358" s="1"/>
      <c r="E1358" s="1"/>
      <c r="F1358" s="1"/>
      <c r="G1358" s="1"/>
      <c r="H1358" s="1"/>
      <c r="I1358" s="1"/>
      <c r="J1358" s="1"/>
      <c r="K1358" s="1"/>
      <c r="L1358" s="1"/>
      <c r="M1358" s="1"/>
      <c r="N1358" s="1"/>
      <c r="O1358" s="1"/>
    </row>
    <row r="1359" spans="2:15" x14ac:dyDescent="0.25">
      <c r="B1359" s="1"/>
      <c r="C1359" s="1"/>
      <c r="D1359" s="1"/>
      <c r="E1359" s="1"/>
      <c r="F1359" s="1"/>
      <c r="G1359" s="1"/>
      <c r="H1359" s="1"/>
      <c r="I1359" s="1"/>
      <c r="J1359" s="1"/>
      <c r="K1359" s="1"/>
      <c r="L1359" s="1"/>
      <c r="M1359" s="1"/>
      <c r="N1359" s="1"/>
      <c r="O1359" s="1"/>
    </row>
    <row r="1360" spans="2:15" x14ac:dyDescent="0.25">
      <c r="B1360" s="1"/>
      <c r="C1360" s="1"/>
      <c r="D1360" s="1"/>
      <c r="E1360" s="1"/>
      <c r="F1360" s="1"/>
      <c r="G1360" s="1"/>
      <c r="H1360" s="1"/>
      <c r="I1360" s="1"/>
      <c r="J1360" s="1"/>
      <c r="K1360" s="1"/>
      <c r="L1360" s="1"/>
      <c r="M1360" s="1"/>
      <c r="N1360" s="1"/>
      <c r="O1360" s="1"/>
    </row>
    <row r="1361" spans="2:15" x14ac:dyDescent="0.25">
      <c r="B1361" s="1"/>
      <c r="C1361" s="1"/>
      <c r="D1361" s="1"/>
      <c r="E1361" s="1"/>
      <c r="F1361" s="1"/>
      <c r="G1361" s="1"/>
      <c r="H1361" s="1"/>
      <c r="I1361" s="1"/>
      <c r="J1361" s="1"/>
      <c r="K1361" s="1"/>
      <c r="L1361" s="1"/>
      <c r="M1361" s="1"/>
      <c r="N1361" s="1"/>
      <c r="O1361" s="1"/>
    </row>
    <row r="1362" spans="2:15" x14ac:dyDescent="0.25">
      <c r="B1362" s="1"/>
      <c r="C1362" s="1"/>
      <c r="D1362" s="1"/>
      <c r="E1362" s="1"/>
      <c r="F1362" s="1"/>
      <c r="G1362" s="1"/>
      <c r="H1362" s="1"/>
      <c r="I1362" s="1"/>
      <c r="J1362" s="1"/>
      <c r="K1362" s="1"/>
      <c r="L1362" s="1"/>
      <c r="M1362" s="1"/>
      <c r="N1362" s="1"/>
      <c r="O1362" s="1"/>
    </row>
    <row r="1363" spans="2:15" x14ac:dyDescent="0.25">
      <c r="B1363" s="1"/>
      <c r="C1363" s="1"/>
      <c r="D1363" s="1"/>
      <c r="E1363" s="1"/>
      <c r="F1363" s="1"/>
      <c r="G1363" s="1"/>
      <c r="H1363" s="1"/>
      <c r="I1363" s="1"/>
      <c r="J1363" s="1"/>
      <c r="K1363" s="1"/>
      <c r="L1363" s="1"/>
      <c r="M1363" s="1"/>
      <c r="N1363" s="1"/>
      <c r="O1363" s="1"/>
    </row>
    <row r="1364" spans="2:15" x14ac:dyDescent="0.25">
      <c r="B1364" s="1"/>
      <c r="C1364" s="1"/>
      <c r="D1364" s="1"/>
      <c r="E1364" s="1"/>
      <c r="F1364" s="1"/>
      <c r="G1364" s="1"/>
      <c r="H1364" s="1"/>
      <c r="I1364" s="1"/>
      <c r="J1364" s="1"/>
      <c r="K1364" s="1"/>
      <c r="L1364" s="1"/>
      <c r="M1364" s="1"/>
      <c r="N1364" s="1"/>
      <c r="O1364" s="1"/>
    </row>
    <row r="1365" spans="2:15" x14ac:dyDescent="0.25">
      <c r="B1365" s="1"/>
      <c r="C1365" s="1"/>
      <c r="D1365" s="1"/>
      <c r="E1365" s="1"/>
      <c r="F1365" s="1"/>
      <c r="G1365" s="1"/>
      <c r="H1365" s="1"/>
      <c r="I1365" s="1"/>
      <c r="J1365" s="1"/>
      <c r="K1365" s="1"/>
      <c r="L1365" s="1"/>
      <c r="M1365" s="1"/>
      <c r="N1365" s="1"/>
      <c r="O1365" s="1"/>
    </row>
    <row r="1366" spans="2:15" x14ac:dyDescent="0.25">
      <c r="B1366" s="1"/>
      <c r="C1366" s="1"/>
      <c r="D1366" s="1"/>
      <c r="E1366" s="1"/>
      <c r="F1366" s="1"/>
      <c r="G1366" s="1"/>
      <c r="H1366" s="1"/>
      <c r="I1366" s="1"/>
      <c r="J1366" s="1"/>
      <c r="K1366" s="1"/>
      <c r="L1366" s="1"/>
      <c r="M1366" s="1"/>
      <c r="N1366" s="1"/>
      <c r="O1366" s="1"/>
    </row>
    <row r="1367" spans="2:15" x14ac:dyDescent="0.25">
      <c r="B1367" s="1"/>
      <c r="C1367" s="1"/>
      <c r="D1367" s="1"/>
      <c r="E1367" s="1"/>
      <c r="F1367" s="1"/>
      <c r="G1367" s="1"/>
      <c r="H1367" s="1"/>
      <c r="I1367" s="1"/>
      <c r="J1367" s="1"/>
      <c r="K1367" s="1"/>
      <c r="L1367" s="1"/>
      <c r="M1367" s="1"/>
      <c r="N1367" s="1"/>
      <c r="O1367" s="1"/>
    </row>
    <row r="1368" spans="2:15" x14ac:dyDescent="0.25">
      <c r="B1368" s="1"/>
      <c r="C1368" s="1"/>
      <c r="D1368" s="1"/>
      <c r="E1368" s="1"/>
      <c r="F1368" s="1"/>
      <c r="G1368" s="1"/>
      <c r="H1368" s="1"/>
      <c r="I1368" s="1"/>
      <c r="J1368" s="1"/>
      <c r="K1368" s="1"/>
      <c r="L1368" s="1"/>
      <c r="M1368" s="1"/>
      <c r="N1368" s="1"/>
      <c r="O1368" s="1"/>
    </row>
    <row r="1369" spans="2:15" x14ac:dyDescent="0.25">
      <c r="B1369" s="1"/>
      <c r="C1369" s="1"/>
      <c r="D1369" s="1"/>
      <c r="E1369" s="1"/>
      <c r="F1369" s="1"/>
      <c r="G1369" s="1"/>
      <c r="H1369" s="1"/>
      <c r="I1369" s="1"/>
      <c r="J1369" s="1"/>
      <c r="K1369" s="1"/>
      <c r="L1369" s="1"/>
      <c r="M1369" s="1"/>
      <c r="N1369" s="1"/>
      <c r="O1369" s="1"/>
    </row>
    <row r="1370" spans="2:15" x14ac:dyDescent="0.25">
      <c r="B1370" s="1"/>
      <c r="C1370" s="1"/>
      <c r="D1370" s="1"/>
      <c r="E1370" s="1"/>
      <c r="F1370" s="1"/>
      <c r="G1370" s="1"/>
      <c r="H1370" s="1"/>
      <c r="I1370" s="1"/>
      <c r="J1370" s="1"/>
      <c r="K1370" s="1"/>
      <c r="L1370" s="1"/>
      <c r="M1370" s="1"/>
      <c r="N1370" s="1"/>
      <c r="O1370" s="1"/>
    </row>
    <row r="1371" spans="2:15" x14ac:dyDescent="0.25">
      <c r="B1371" s="1"/>
      <c r="C1371" s="1"/>
      <c r="D1371" s="1"/>
      <c r="E1371" s="1"/>
      <c r="F1371" s="1"/>
      <c r="G1371" s="1"/>
      <c r="H1371" s="1"/>
      <c r="I1371" s="1"/>
      <c r="J1371" s="1"/>
      <c r="K1371" s="1"/>
      <c r="L1371" s="1"/>
      <c r="M1371" s="1"/>
      <c r="N1371" s="1"/>
      <c r="O1371" s="1"/>
    </row>
    <row r="1372" spans="2:15" x14ac:dyDescent="0.25">
      <c r="B1372" s="1"/>
      <c r="C1372" s="1"/>
      <c r="D1372" s="1"/>
      <c r="E1372" s="1"/>
      <c r="F1372" s="1"/>
      <c r="G1372" s="1"/>
      <c r="H1372" s="1"/>
      <c r="I1372" s="1"/>
      <c r="J1372" s="1"/>
      <c r="K1372" s="1"/>
      <c r="L1372" s="1"/>
      <c r="M1372" s="1"/>
      <c r="N1372" s="1"/>
      <c r="O1372" s="1"/>
    </row>
    <row r="1373" spans="2:15" x14ac:dyDescent="0.25">
      <c r="B1373" s="1"/>
      <c r="C1373" s="1"/>
      <c r="D1373" s="1"/>
      <c r="E1373" s="1"/>
      <c r="F1373" s="1"/>
      <c r="G1373" s="1"/>
      <c r="H1373" s="1"/>
      <c r="I1373" s="1"/>
      <c r="J1373" s="1"/>
      <c r="K1373" s="1"/>
      <c r="L1373" s="1"/>
      <c r="M1373" s="1"/>
      <c r="N1373" s="1"/>
      <c r="O1373" s="1"/>
    </row>
    <row r="1374" spans="2:15" x14ac:dyDescent="0.25">
      <c r="B1374" s="1"/>
      <c r="C1374" s="1"/>
      <c r="D1374" s="1"/>
      <c r="E1374" s="1"/>
      <c r="F1374" s="1"/>
      <c r="G1374" s="1"/>
      <c r="H1374" s="1"/>
      <c r="I1374" s="1"/>
      <c r="J1374" s="1"/>
      <c r="K1374" s="1"/>
      <c r="L1374" s="1"/>
      <c r="M1374" s="1"/>
      <c r="N1374" s="1"/>
      <c r="O1374" s="1"/>
    </row>
    <row r="1375" spans="2:15" x14ac:dyDescent="0.25">
      <c r="B1375" s="1"/>
      <c r="C1375" s="1"/>
      <c r="D1375" s="1"/>
      <c r="E1375" s="1"/>
      <c r="F1375" s="1"/>
      <c r="G1375" s="1"/>
      <c r="H1375" s="1"/>
      <c r="I1375" s="1"/>
      <c r="J1375" s="1"/>
      <c r="K1375" s="1"/>
      <c r="L1375" s="1"/>
      <c r="M1375" s="1"/>
      <c r="N1375" s="1"/>
      <c r="O1375" s="1"/>
    </row>
    <row r="1376" spans="2:15" x14ac:dyDescent="0.25">
      <c r="B1376" s="1"/>
      <c r="C1376" s="1"/>
      <c r="D1376" s="1"/>
      <c r="E1376" s="1"/>
      <c r="F1376" s="1"/>
      <c r="G1376" s="1"/>
      <c r="H1376" s="1"/>
      <c r="I1376" s="1"/>
      <c r="J1376" s="1"/>
      <c r="K1376" s="1"/>
      <c r="L1376" s="1"/>
      <c r="M1376" s="1"/>
      <c r="N1376" s="1"/>
      <c r="O1376" s="1"/>
    </row>
    <row r="1377" spans="2:15" x14ac:dyDescent="0.25">
      <c r="B1377" s="1"/>
      <c r="C1377" s="1"/>
      <c r="D1377" s="1"/>
      <c r="E1377" s="1"/>
      <c r="F1377" s="1"/>
      <c r="G1377" s="1"/>
      <c r="H1377" s="1"/>
      <c r="I1377" s="1"/>
      <c r="J1377" s="1"/>
      <c r="K1377" s="1"/>
      <c r="L1377" s="1"/>
      <c r="M1377" s="1"/>
      <c r="N1377" s="1"/>
      <c r="O1377" s="1"/>
    </row>
    <row r="1378" spans="2:15" x14ac:dyDescent="0.25">
      <c r="B1378" s="1"/>
      <c r="C1378" s="1"/>
      <c r="D1378" s="1"/>
      <c r="E1378" s="1"/>
      <c r="F1378" s="1"/>
      <c r="G1378" s="1"/>
      <c r="H1378" s="1"/>
      <c r="I1378" s="1"/>
      <c r="J1378" s="1"/>
      <c r="K1378" s="1"/>
      <c r="L1378" s="1"/>
      <c r="M1378" s="1"/>
      <c r="N1378" s="1"/>
      <c r="O1378" s="1"/>
    </row>
    <row r="1379" spans="2:15" x14ac:dyDescent="0.25">
      <c r="B1379" s="1"/>
      <c r="C1379" s="1"/>
      <c r="D1379" s="1"/>
      <c r="E1379" s="1"/>
      <c r="F1379" s="1"/>
      <c r="G1379" s="1"/>
      <c r="H1379" s="1"/>
      <c r="I1379" s="1"/>
      <c r="J1379" s="1"/>
      <c r="K1379" s="1"/>
      <c r="L1379" s="1"/>
      <c r="M1379" s="1"/>
      <c r="N1379" s="1"/>
      <c r="O1379" s="1"/>
    </row>
    <row r="1380" spans="2:15" x14ac:dyDescent="0.25">
      <c r="B1380" s="1"/>
      <c r="C1380" s="1"/>
      <c r="D1380" s="1"/>
      <c r="E1380" s="1"/>
      <c r="F1380" s="1"/>
      <c r="G1380" s="1"/>
      <c r="H1380" s="1"/>
      <c r="I1380" s="1"/>
      <c r="J1380" s="1"/>
      <c r="K1380" s="1"/>
      <c r="L1380" s="1"/>
      <c r="M1380" s="1"/>
      <c r="N1380" s="1"/>
      <c r="O1380" s="1"/>
    </row>
    <row r="1381" spans="2:15" x14ac:dyDescent="0.25">
      <c r="B1381" s="1"/>
      <c r="C1381" s="1"/>
      <c r="D1381" s="1"/>
      <c r="E1381" s="1"/>
      <c r="F1381" s="1"/>
      <c r="G1381" s="1"/>
      <c r="H1381" s="1"/>
      <c r="I1381" s="1"/>
      <c r="J1381" s="1"/>
      <c r="K1381" s="1"/>
      <c r="L1381" s="1"/>
      <c r="M1381" s="1"/>
      <c r="N1381" s="1"/>
      <c r="O1381" s="1"/>
    </row>
    <row r="1382" spans="2:15" x14ac:dyDescent="0.25">
      <c r="B1382" s="1"/>
      <c r="C1382" s="1"/>
      <c r="D1382" s="1"/>
      <c r="E1382" s="1"/>
      <c r="F1382" s="1"/>
      <c r="G1382" s="1"/>
      <c r="H1382" s="1"/>
      <c r="I1382" s="1"/>
      <c r="J1382" s="1"/>
      <c r="K1382" s="1"/>
      <c r="L1382" s="1"/>
      <c r="M1382" s="1"/>
      <c r="N1382" s="1"/>
      <c r="O1382" s="1"/>
    </row>
    <row r="1383" spans="2:15" x14ac:dyDescent="0.25">
      <c r="B1383" s="1"/>
      <c r="C1383" s="1"/>
      <c r="D1383" s="1"/>
      <c r="E1383" s="1"/>
      <c r="F1383" s="1"/>
      <c r="G1383" s="1"/>
      <c r="H1383" s="1"/>
      <c r="I1383" s="1"/>
      <c r="J1383" s="1"/>
      <c r="K1383" s="1"/>
      <c r="L1383" s="1"/>
      <c r="M1383" s="1"/>
      <c r="N1383" s="1"/>
      <c r="O1383" s="1"/>
    </row>
    <row r="1384" spans="2:15" x14ac:dyDescent="0.25">
      <c r="B1384" s="1"/>
      <c r="C1384" s="1"/>
      <c r="D1384" s="1"/>
      <c r="E1384" s="1"/>
      <c r="F1384" s="1"/>
      <c r="G1384" s="1"/>
      <c r="H1384" s="1"/>
      <c r="I1384" s="1"/>
      <c r="J1384" s="1"/>
      <c r="K1384" s="1"/>
      <c r="L1384" s="1"/>
      <c r="M1384" s="1"/>
      <c r="N1384" s="1"/>
      <c r="O1384" s="1"/>
    </row>
    <row r="1385" spans="2:15" x14ac:dyDescent="0.25">
      <c r="B1385" s="1"/>
      <c r="C1385" s="1"/>
      <c r="D1385" s="1"/>
      <c r="E1385" s="1"/>
      <c r="F1385" s="1"/>
      <c r="G1385" s="1"/>
      <c r="H1385" s="1"/>
      <c r="I1385" s="1"/>
      <c r="J1385" s="1"/>
      <c r="K1385" s="1"/>
      <c r="L1385" s="1"/>
      <c r="M1385" s="1"/>
      <c r="N1385" s="1"/>
      <c r="O1385" s="1"/>
    </row>
    <row r="1386" spans="2:15" x14ac:dyDescent="0.25">
      <c r="B1386" s="1"/>
      <c r="C1386" s="1"/>
      <c r="D1386" s="1"/>
      <c r="E1386" s="1"/>
      <c r="F1386" s="1"/>
      <c r="G1386" s="1"/>
      <c r="H1386" s="1"/>
      <c r="I1386" s="1"/>
      <c r="J1386" s="1"/>
      <c r="K1386" s="1"/>
      <c r="L1386" s="1"/>
      <c r="M1386" s="1"/>
      <c r="N1386" s="1"/>
      <c r="O1386" s="1"/>
    </row>
    <row r="1387" spans="2:15" x14ac:dyDescent="0.25">
      <c r="B1387" s="1"/>
      <c r="C1387" s="1"/>
      <c r="D1387" s="1"/>
      <c r="E1387" s="1"/>
      <c r="F1387" s="1"/>
      <c r="G1387" s="1"/>
      <c r="H1387" s="1"/>
      <c r="I1387" s="1"/>
      <c r="J1387" s="1"/>
      <c r="K1387" s="1"/>
      <c r="L1387" s="1"/>
      <c r="M1387" s="1"/>
      <c r="N1387" s="1"/>
      <c r="O1387" s="1"/>
    </row>
    <row r="1388" spans="2:15" x14ac:dyDescent="0.25">
      <c r="B1388" s="1"/>
      <c r="C1388" s="1"/>
      <c r="D1388" s="1"/>
      <c r="E1388" s="1"/>
      <c r="F1388" s="1"/>
      <c r="G1388" s="1"/>
      <c r="H1388" s="1"/>
      <c r="I1388" s="1"/>
      <c r="J1388" s="1"/>
      <c r="K1388" s="1"/>
      <c r="L1388" s="1"/>
      <c r="M1388" s="1"/>
      <c r="N1388" s="1"/>
      <c r="O1388" s="1"/>
    </row>
    <row r="1389" spans="2:15" x14ac:dyDescent="0.25">
      <c r="B1389" s="1"/>
      <c r="C1389" s="1"/>
      <c r="D1389" s="1"/>
      <c r="E1389" s="1"/>
      <c r="F1389" s="1"/>
      <c r="G1389" s="1"/>
      <c r="H1389" s="1"/>
      <c r="I1389" s="1"/>
      <c r="J1389" s="1"/>
      <c r="K1389" s="1"/>
      <c r="L1389" s="1"/>
      <c r="M1389" s="1"/>
      <c r="N1389" s="1"/>
      <c r="O1389" s="1"/>
    </row>
    <row r="1390" spans="2:15" x14ac:dyDescent="0.25">
      <c r="B1390" s="1"/>
      <c r="C1390" s="1"/>
      <c r="D1390" s="1"/>
      <c r="E1390" s="1"/>
      <c r="F1390" s="1"/>
      <c r="G1390" s="1"/>
      <c r="H1390" s="1"/>
      <c r="I1390" s="1"/>
      <c r="J1390" s="1"/>
      <c r="K1390" s="1"/>
      <c r="L1390" s="1"/>
      <c r="M1390" s="1"/>
      <c r="N1390" s="1"/>
      <c r="O1390" s="1"/>
    </row>
    <row r="1391" spans="2:15" x14ac:dyDescent="0.25">
      <c r="B1391" s="1"/>
      <c r="C1391" s="1"/>
      <c r="D1391" s="1"/>
      <c r="E1391" s="1"/>
      <c r="F1391" s="1"/>
      <c r="G1391" s="1"/>
      <c r="H1391" s="1"/>
      <c r="I1391" s="1"/>
      <c r="J1391" s="1"/>
      <c r="K1391" s="1"/>
      <c r="L1391" s="1"/>
      <c r="M1391" s="1"/>
      <c r="N1391" s="1"/>
      <c r="O1391" s="1"/>
    </row>
    <row r="1392" spans="2:15" x14ac:dyDescent="0.25">
      <c r="B1392" s="1"/>
      <c r="C1392" s="1"/>
      <c r="D1392" s="1"/>
      <c r="E1392" s="1"/>
      <c r="F1392" s="1"/>
      <c r="G1392" s="1"/>
      <c r="H1392" s="1"/>
      <c r="I1392" s="1"/>
      <c r="J1392" s="1"/>
      <c r="K1392" s="1"/>
      <c r="L1392" s="1"/>
      <c r="M1392" s="1"/>
      <c r="N1392" s="1"/>
      <c r="O1392" s="1"/>
    </row>
    <row r="1393" spans="2:15" x14ac:dyDescent="0.25">
      <c r="B1393" s="1"/>
      <c r="C1393" s="1"/>
      <c r="D1393" s="1"/>
      <c r="E1393" s="1"/>
      <c r="F1393" s="1"/>
      <c r="G1393" s="1"/>
      <c r="H1393" s="1"/>
      <c r="I1393" s="1"/>
      <c r="J1393" s="1"/>
      <c r="K1393" s="1"/>
      <c r="L1393" s="1"/>
      <c r="M1393" s="1"/>
      <c r="N1393" s="1"/>
      <c r="O1393" s="1"/>
    </row>
    <row r="1394" spans="2:15" x14ac:dyDescent="0.25">
      <c r="B1394" s="1"/>
      <c r="C1394" s="1"/>
      <c r="D1394" s="1"/>
      <c r="E1394" s="1"/>
      <c r="F1394" s="1"/>
      <c r="G1394" s="1"/>
      <c r="H1394" s="1"/>
      <c r="I1394" s="1"/>
      <c r="J1394" s="1"/>
      <c r="K1394" s="1"/>
      <c r="L1394" s="1"/>
      <c r="M1394" s="1"/>
      <c r="N1394" s="1"/>
      <c r="O1394" s="1"/>
    </row>
    <row r="1395" spans="2:15" x14ac:dyDescent="0.25">
      <c r="B1395" s="1"/>
      <c r="C1395" s="1"/>
      <c r="D1395" s="1"/>
      <c r="E1395" s="1"/>
      <c r="F1395" s="1"/>
      <c r="G1395" s="1"/>
      <c r="H1395" s="1"/>
      <c r="I1395" s="1"/>
      <c r="J1395" s="1"/>
      <c r="K1395" s="1"/>
      <c r="L1395" s="1"/>
      <c r="M1395" s="1"/>
      <c r="N1395" s="1"/>
      <c r="O1395" s="1"/>
    </row>
    <row r="1396" spans="2:15" x14ac:dyDescent="0.25">
      <c r="B1396" s="1"/>
      <c r="C1396" s="1"/>
      <c r="D1396" s="1"/>
      <c r="E1396" s="1"/>
      <c r="F1396" s="1"/>
      <c r="G1396" s="1"/>
      <c r="H1396" s="1"/>
      <c r="I1396" s="1"/>
      <c r="J1396" s="1"/>
      <c r="K1396" s="1"/>
      <c r="L1396" s="1"/>
      <c r="M1396" s="1"/>
      <c r="N1396" s="1"/>
      <c r="O1396" s="1"/>
    </row>
    <row r="1397" spans="2:15" x14ac:dyDescent="0.25">
      <c r="B1397" s="1"/>
      <c r="C1397" s="1"/>
      <c r="D1397" s="1"/>
      <c r="E1397" s="1"/>
      <c r="F1397" s="1"/>
      <c r="G1397" s="1"/>
      <c r="H1397" s="1"/>
      <c r="I1397" s="1"/>
      <c r="J1397" s="1"/>
      <c r="K1397" s="1"/>
      <c r="L1397" s="1"/>
      <c r="M1397" s="1"/>
      <c r="N1397" s="1"/>
      <c r="O1397" s="1"/>
    </row>
    <row r="1398" spans="2:15" x14ac:dyDescent="0.25">
      <c r="B1398" s="1"/>
      <c r="C1398" s="1"/>
      <c r="D1398" s="1"/>
      <c r="E1398" s="1"/>
      <c r="F1398" s="1"/>
      <c r="G1398" s="1"/>
      <c r="H1398" s="1"/>
      <c r="I1398" s="1"/>
      <c r="J1398" s="1"/>
      <c r="K1398" s="1"/>
      <c r="L1398" s="1"/>
      <c r="M1398" s="1"/>
      <c r="N1398" s="1"/>
      <c r="O1398" s="1"/>
    </row>
    <row r="1399" spans="2:15" x14ac:dyDescent="0.25">
      <c r="B1399" s="1"/>
      <c r="C1399" s="1"/>
      <c r="D1399" s="1"/>
      <c r="E1399" s="1"/>
      <c r="F1399" s="1"/>
      <c r="G1399" s="1"/>
      <c r="H1399" s="1"/>
      <c r="I1399" s="1"/>
      <c r="J1399" s="1"/>
      <c r="K1399" s="1"/>
      <c r="L1399" s="1"/>
      <c r="M1399" s="1"/>
      <c r="N1399" s="1"/>
      <c r="O1399" s="1"/>
    </row>
    <row r="1400" spans="2:15" x14ac:dyDescent="0.25">
      <c r="B1400" s="1"/>
      <c r="C1400" s="1"/>
      <c r="D1400" s="1"/>
      <c r="E1400" s="1"/>
      <c r="F1400" s="1"/>
      <c r="G1400" s="1"/>
      <c r="H1400" s="1"/>
      <c r="I1400" s="1"/>
      <c r="J1400" s="1"/>
      <c r="K1400" s="1"/>
      <c r="L1400" s="1"/>
      <c r="M1400" s="1"/>
      <c r="N1400" s="1"/>
      <c r="O1400" s="1"/>
    </row>
    <row r="1401" spans="2:15" x14ac:dyDescent="0.25">
      <c r="B1401" s="1"/>
      <c r="C1401" s="1"/>
      <c r="D1401" s="1"/>
      <c r="E1401" s="1"/>
      <c r="F1401" s="1"/>
      <c r="G1401" s="1"/>
      <c r="H1401" s="1"/>
      <c r="I1401" s="1"/>
      <c r="J1401" s="1"/>
      <c r="K1401" s="1"/>
      <c r="L1401" s="1"/>
      <c r="M1401" s="1"/>
      <c r="N1401" s="1"/>
      <c r="O1401" s="1"/>
    </row>
    <row r="1402" spans="2:15" x14ac:dyDescent="0.25">
      <c r="B1402" s="1"/>
      <c r="C1402" s="1"/>
      <c r="D1402" s="1"/>
      <c r="E1402" s="1"/>
      <c r="F1402" s="1"/>
      <c r="G1402" s="1"/>
      <c r="H1402" s="1"/>
      <c r="I1402" s="1"/>
      <c r="J1402" s="1"/>
      <c r="K1402" s="1"/>
      <c r="L1402" s="1"/>
      <c r="M1402" s="1"/>
      <c r="N1402" s="1"/>
      <c r="O1402" s="1"/>
    </row>
    <row r="1403" spans="2:15" x14ac:dyDescent="0.25">
      <c r="B1403" s="1"/>
      <c r="C1403" s="1"/>
      <c r="D1403" s="1"/>
      <c r="E1403" s="1"/>
      <c r="F1403" s="1"/>
      <c r="G1403" s="1"/>
      <c r="H1403" s="1"/>
      <c r="I1403" s="1"/>
      <c r="J1403" s="1"/>
      <c r="K1403" s="1"/>
      <c r="L1403" s="1"/>
      <c r="M1403" s="1"/>
      <c r="N1403" s="1"/>
      <c r="O1403" s="1"/>
    </row>
    <row r="1404" spans="2:15" x14ac:dyDescent="0.25">
      <c r="B1404" s="1"/>
      <c r="C1404" s="1"/>
      <c r="D1404" s="1"/>
      <c r="E1404" s="1"/>
      <c r="F1404" s="1"/>
      <c r="G1404" s="1"/>
      <c r="H1404" s="1"/>
      <c r="I1404" s="1"/>
      <c r="J1404" s="1"/>
      <c r="K1404" s="1"/>
      <c r="L1404" s="1"/>
      <c r="M1404" s="1"/>
      <c r="N1404" s="1"/>
      <c r="O1404" s="1"/>
    </row>
    <row r="1405" spans="2:15" x14ac:dyDescent="0.25">
      <c r="B1405" s="1"/>
      <c r="C1405" s="1"/>
      <c r="D1405" s="1"/>
      <c r="E1405" s="1"/>
      <c r="F1405" s="1"/>
      <c r="G1405" s="1"/>
      <c r="H1405" s="1"/>
      <c r="I1405" s="1"/>
      <c r="J1405" s="1"/>
      <c r="K1405" s="1"/>
      <c r="L1405" s="1"/>
      <c r="M1405" s="1"/>
      <c r="N1405" s="1"/>
      <c r="O1405" s="1"/>
    </row>
    <row r="1406" spans="2:15" x14ac:dyDescent="0.25">
      <c r="B1406" s="1"/>
      <c r="C1406" s="1"/>
      <c r="D1406" s="1"/>
      <c r="E1406" s="1"/>
      <c r="F1406" s="1"/>
      <c r="G1406" s="1"/>
      <c r="H1406" s="1"/>
      <c r="I1406" s="1"/>
      <c r="J1406" s="1"/>
      <c r="K1406" s="1"/>
      <c r="L1406" s="1"/>
      <c r="M1406" s="1"/>
      <c r="N1406" s="1"/>
      <c r="O1406" s="1"/>
    </row>
    <row r="1407" spans="2:15" x14ac:dyDescent="0.25">
      <c r="B1407" s="1"/>
      <c r="C1407" s="1"/>
      <c r="D1407" s="1"/>
      <c r="E1407" s="1"/>
      <c r="F1407" s="1"/>
      <c r="G1407" s="1"/>
      <c r="H1407" s="1"/>
      <c r="I1407" s="1"/>
      <c r="J1407" s="1"/>
      <c r="K1407" s="1"/>
      <c r="L1407" s="1"/>
      <c r="M1407" s="1"/>
      <c r="N1407" s="1"/>
      <c r="O1407" s="1"/>
    </row>
    <row r="1408" spans="2:15" x14ac:dyDescent="0.25">
      <c r="B1408" s="1"/>
      <c r="C1408" s="1"/>
      <c r="D1408" s="1"/>
      <c r="E1408" s="1"/>
      <c r="F1408" s="1"/>
      <c r="G1408" s="1"/>
      <c r="H1408" s="1"/>
      <c r="I1408" s="1"/>
      <c r="J1408" s="1"/>
      <c r="K1408" s="1"/>
      <c r="L1408" s="1"/>
      <c r="M1408" s="1"/>
      <c r="N1408" s="1"/>
      <c r="O1408" s="1"/>
    </row>
    <row r="1409" spans="2:15" x14ac:dyDescent="0.25">
      <c r="B1409" s="1"/>
      <c r="C1409" s="1"/>
      <c r="D1409" s="1"/>
      <c r="E1409" s="1"/>
      <c r="F1409" s="1"/>
      <c r="G1409" s="1"/>
      <c r="H1409" s="1"/>
      <c r="I1409" s="1"/>
      <c r="J1409" s="1"/>
      <c r="K1409" s="1"/>
      <c r="L1409" s="1"/>
      <c r="M1409" s="1"/>
      <c r="N1409" s="1"/>
      <c r="O1409" s="1"/>
    </row>
    <row r="1410" spans="2:15" x14ac:dyDescent="0.25">
      <c r="B1410" s="1"/>
      <c r="C1410" s="1"/>
      <c r="D1410" s="1"/>
      <c r="E1410" s="1"/>
      <c r="F1410" s="1"/>
      <c r="G1410" s="1"/>
      <c r="H1410" s="1"/>
      <c r="I1410" s="1"/>
      <c r="J1410" s="1"/>
      <c r="K1410" s="1"/>
      <c r="L1410" s="1"/>
      <c r="M1410" s="1"/>
      <c r="N1410" s="1"/>
      <c r="O1410" s="1"/>
    </row>
    <row r="1411" spans="2:15" x14ac:dyDescent="0.25">
      <c r="B1411" s="1"/>
      <c r="C1411" s="1"/>
      <c r="D1411" s="1"/>
      <c r="E1411" s="1"/>
      <c r="F1411" s="1"/>
      <c r="G1411" s="1"/>
      <c r="H1411" s="1"/>
      <c r="I1411" s="1"/>
      <c r="J1411" s="1"/>
      <c r="K1411" s="1"/>
      <c r="L1411" s="1"/>
      <c r="M1411" s="1"/>
      <c r="N1411" s="1"/>
      <c r="O1411" s="1"/>
    </row>
    <row r="1412" spans="2:15" x14ac:dyDescent="0.25">
      <c r="B1412" s="1"/>
      <c r="C1412" s="1"/>
      <c r="D1412" s="1"/>
      <c r="E1412" s="1"/>
      <c r="F1412" s="1"/>
      <c r="G1412" s="1"/>
      <c r="H1412" s="1"/>
      <c r="I1412" s="1"/>
      <c r="J1412" s="1"/>
      <c r="K1412" s="1"/>
      <c r="L1412" s="1"/>
      <c r="M1412" s="1"/>
      <c r="N1412" s="1"/>
      <c r="O1412" s="1"/>
    </row>
    <row r="1413" spans="2:15" x14ac:dyDescent="0.25">
      <c r="B1413" s="1"/>
      <c r="C1413" s="1"/>
      <c r="D1413" s="1"/>
      <c r="E1413" s="1"/>
      <c r="F1413" s="1"/>
      <c r="G1413" s="1"/>
      <c r="H1413" s="1"/>
      <c r="I1413" s="1"/>
      <c r="J1413" s="1"/>
      <c r="K1413" s="1"/>
      <c r="L1413" s="1"/>
      <c r="M1413" s="1"/>
      <c r="N1413" s="1"/>
      <c r="O1413" s="1"/>
    </row>
    <row r="1414" spans="2:15" x14ac:dyDescent="0.25">
      <c r="B1414" s="1"/>
      <c r="C1414" s="1"/>
      <c r="D1414" s="1"/>
      <c r="E1414" s="1"/>
      <c r="F1414" s="1"/>
      <c r="G1414" s="1"/>
      <c r="H1414" s="1"/>
      <c r="I1414" s="1"/>
      <c r="J1414" s="1"/>
      <c r="K1414" s="1"/>
      <c r="L1414" s="1"/>
      <c r="M1414" s="1"/>
      <c r="N1414" s="1"/>
      <c r="O1414" s="1"/>
    </row>
    <row r="1415" spans="2:15" x14ac:dyDescent="0.25">
      <c r="B1415" s="1"/>
      <c r="C1415" s="1"/>
      <c r="D1415" s="1"/>
      <c r="E1415" s="1"/>
      <c r="F1415" s="1"/>
      <c r="G1415" s="1"/>
      <c r="H1415" s="1"/>
      <c r="I1415" s="1"/>
      <c r="J1415" s="1"/>
      <c r="K1415" s="1"/>
      <c r="L1415" s="1"/>
      <c r="M1415" s="1"/>
      <c r="N1415" s="1"/>
      <c r="O1415" s="1"/>
    </row>
    <row r="1416" spans="2:15" x14ac:dyDescent="0.25">
      <c r="B1416" s="1"/>
      <c r="C1416" s="1"/>
      <c r="D1416" s="1"/>
      <c r="E1416" s="1"/>
      <c r="F1416" s="1"/>
      <c r="G1416" s="1"/>
      <c r="H1416" s="1"/>
      <c r="I1416" s="1"/>
      <c r="J1416" s="1"/>
      <c r="K1416" s="1"/>
      <c r="L1416" s="1"/>
      <c r="M1416" s="1"/>
      <c r="N1416" s="1"/>
      <c r="O1416" s="1"/>
    </row>
    <row r="1417" spans="2:15" x14ac:dyDescent="0.25">
      <c r="B1417" s="1"/>
      <c r="C1417" s="1"/>
      <c r="D1417" s="1"/>
      <c r="E1417" s="1"/>
      <c r="F1417" s="1"/>
      <c r="G1417" s="1"/>
      <c r="H1417" s="1"/>
      <c r="I1417" s="1"/>
      <c r="J1417" s="1"/>
      <c r="K1417" s="1"/>
      <c r="L1417" s="1"/>
      <c r="M1417" s="1"/>
      <c r="N1417" s="1"/>
      <c r="O1417" s="1"/>
    </row>
    <row r="1418" spans="2:15" x14ac:dyDescent="0.25">
      <c r="B1418" s="1"/>
      <c r="C1418" s="1"/>
      <c r="D1418" s="1"/>
      <c r="E1418" s="1"/>
      <c r="F1418" s="1"/>
      <c r="G1418" s="1"/>
      <c r="H1418" s="1"/>
      <c r="I1418" s="1"/>
      <c r="J1418" s="1"/>
      <c r="K1418" s="1"/>
      <c r="L1418" s="1"/>
      <c r="M1418" s="1"/>
      <c r="N1418" s="1"/>
      <c r="O1418" s="1"/>
    </row>
    <row r="1419" spans="2:15" x14ac:dyDescent="0.25">
      <c r="B1419" s="1"/>
      <c r="C1419" s="1"/>
      <c r="D1419" s="1"/>
      <c r="E1419" s="1"/>
      <c r="F1419" s="1"/>
      <c r="G1419" s="1"/>
      <c r="H1419" s="1"/>
      <c r="I1419" s="1"/>
      <c r="J1419" s="1"/>
      <c r="K1419" s="1"/>
      <c r="L1419" s="1"/>
      <c r="M1419" s="1"/>
      <c r="N1419" s="1"/>
      <c r="O1419" s="1"/>
    </row>
    <row r="1420" spans="2:15" x14ac:dyDescent="0.25">
      <c r="B1420" s="1"/>
      <c r="C1420" s="1"/>
      <c r="D1420" s="1"/>
      <c r="E1420" s="1"/>
      <c r="F1420" s="1"/>
      <c r="G1420" s="1"/>
      <c r="H1420" s="1"/>
      <c r="I1420" s="1"/>
      <c r="J1420" s="1"/>
      <c r="K1420" s="1"/>
      <c r="L1420" s="1"/>
      <c r="M1420" s="1"/>
      <c r="N1420" s="1"/>
      <c r="O1420" s="1"/>
    </row>
    <row r="1421" spans="2:15" x14ac:dyDescent="0.25">
      <c r="B1421" s="1"/>
      <c r="C1421" s="1"/>
      <c r="D1421" s="1"/>
      <c r="E1421" s="1"/>
      <c r="F1421" s="1"/>
      <c r="G1421" s="1"/>
      <c r="H1421" s="1"/>
      <c r="I1421" s="1"/>
      <c r="J1421" s="1"/>
      <c r="K1421" s="1"/>
      <c r="L1421" s="1"/>
      <c r="M1421" s="1"/>
      <c r="N1421" s="1"/>
      <c r="O1421" s="1"/>
    </row>
    <row r="1422" spans="2:15" x14ac:dyDescent="0.25">
      <c r="B1422" s="1"/>
      <c r="C1422" s="1"/>
      <c r="D1422" s="1"/>
      <c r="E1422" s="1"/>
      <c r="F1422" s="1"/>
      <c r="G1422" s="1"/>
      <c r="H1422" s="1"/>
      <c r="I1422" s="1"/>
      <c r="J1422" s="1"/>
      <c r="K1422" s="1"/>
      <c r="L1422" s="1"/>
      <c r="M1422" s="1"/>
      <c r="N1422" s="1"/>
      <c r="O1422" s="1"/>
    </row>
    <row r="1423" spans="2:15" x14ac:dyDescent="0.25">
      <c r="B1423" s="1"/>
      <c r="C1423" s="1"/>
      <c r="D1423" s="1"/>
      <c r="E1423" s="1"/>
      <c r="F1423" s="1"/>
      <c r="G1423" s="1"/>
      <c r="H1423" s="1"/>
      <c r="I1423" s="1"/>
      <c r="J1423" s="1"/>
      <c r="K1423" s="1"/>
      <c r="L1423" s="1"/>
      <c r="M1423" s="1"/>
      <c r="N1423" s="1"/>
      <c r="O1423" s="1"/>
    </row>
    <row r="1424" spans="2:15" x14ac:dyDescent="0.25">
      <c r="B1424" s="1"/>
      <c r="C1424" s="1"/>
      <c r="D1424" s="1"/>
      <c r="E1424" s="1"/>
      <c r="F1424" s="1"/>
      <c r="G1424" s="1"/>
      <c r="H1424" s="1"/>
      <c r="I1424" s="1"/>
      <c r="J1424" s="1"/>
      <c r="K1424" s="1"/>
      <c r="L1424" s="1"/>
      <c r="M1424" s="1"/>
      <c r="N1424" s="1"/>
      <c r="O1424" s="1"/>
    </row>
    <row r="1425" spans="2:15" x14ac:dyDescent="0.25">
      <c r="B1425" s="1"/>
      <c r="C1425" s="1"/>
      <c r="D1425" s="1"/>
      <c r="E1425" s="1"/>
      <c r="F1425" s="1"/>
      <c r="G1425" s="1"/>
      <c r="H1425" s="1"/>
      <c r="I1425" s="1"/>
      <c r="J1425" s="1"/>
      <c r="K1425" s="1"/>
      <c r="L1425" s="1"/>
      <c r="M1425" s="1"/>
      <c r="N1425" s="1"/>
      <c r="O1425" s="1"/>
    </row>
    <row r="1426" spans="2:15" x14ac:dyDescent="0.25">
      <c r="B1426" s="1"/>
      <c r="C1426" s="1"/>
      <c r="D1426" s="1"/>
      <c r="E1426" s="1"/>
      <c r="F1426" s="1"/>
      <c r="G1426" s="1"/>
      <c r="H1426" s="1"/>
      <c r="I1426" s="1"/>
      <c r="J1426" s="1"/>
      <c r="K1426" s="1"/>
      <c r="L1426" s="1"/>
      <c r="M1426" s="1"/>
      <c r="N1426" s="1"/>
      <c r="O1426" s="1"/>
    </row>
    <row r="1427" spans="2:15" x14ac:dyDescent="0.25">
      <c r="B1427" s="1"/>
      <c r="C1427" s="1"/>
      <c r="D1427" s="1"/>
      <c r="E1427" s="1"/>
      <c r="F1427" s="1"/>
      <c r="G1427" s="1"/>
      <c r="H1427" s="1"/>
      <c r="I1427" s="1"/>
      <c r="J1427" s="1"/>
      <c r="K1427" s="1"/>
      <c r="L1427" s="1"/>
      <c r="M1427" s="1"/>
      <c r="N1427" s="1"/>
      <c r="O1427" s="1"/>
    </row>
    <row r="1428" spans="2:15" x14ac:dyDescent="0.25">
      <c r="B1428" s="1"/>
      <c r="C1428" s="1"/>
      <c r="D1428" s="1"/>
      <c r="E1428" s="1"/>
      <c r="F1428" s="1"/>
      <c r="G1428" s="1"/>
      <c r="H1428" s="1"/>
      <c r="I1428" s="1"/>
      <c r="J1428" s="1"/>
      <c r="K1428" s="1"/>
      <c r="L1428" s="1"/>
      <c r="M1428" s="1"/>
      <c r="N1428" s="1"/>
      <c r="O1428" s="1"/>
    </row>
    <row r="1429" spans="2:15" x14ac:dyDescent="0.25">
      <c r="B1429" s="1"/>
      <c r="C1429" s="1"/>
      <c r="D1429" s="1"/>
      <c r="E1429" s="1"/>
      <c r="F1429" s="1"/>
      <c r="G1429" s="1"/>
      <c r="H1429" s="1"/>
      <c r="I1429" s="1"/>
      <c r="J1429" s="1"/>
      <c r="K1429" s="1"/>
      <c r="L1429" s="1"/>
      <c r="M1429" s="1"/>
      <c r="N1429" s="1"/>
      <c r="O1429" s="1"/>
    </row>
    <row r="1430" spans="2:15" x14ac:dyDescent="0.25">
      <c r="B1430" s="1"/>
      <c r="C1430" s="1"/>
      <c r="D1430" s="1"/>
      <c r="E1430" s="1"/>
      <c r="F1430" s="1"/>
      <c r="G1430" s="1"/>
      <c r="H1430" s="1"/>
      <c r="I1430" s="1"/>
      <c r="J1430" s="1"/>
      <c r="K1430" s="1"/>
      <c r="L1430" s="1"/>
      <c r="M1430" s="1"/>
      <c r="N1430" s="1"/>
      <c r="O1430" s="1"/>
    </row>
    <row r="1431" spans="2:15" x14ac:dyDescent="0.25">
      <c r="B1431" s="1"/>
      <c r="C1431" s="1"/>
      <c r="D1431" s="1"/>
      <c r="E1431" s="1"/>
      <c r="F1431" s="1"/>
      <c r="G1431" s="1"/>
      <c r="H1431" s="1"/>
      <c r="I1431" s="1"/>
      <c r="J1431" s="1"/>
      <c r="K1431" s="1"/>
      <c r="L1431" s="1"/>
      <c r="M1431" s="1"/>
      <c r="N1431" s="1"/>
      <c r="O1431" s="1"/>
    </row>
    <row r="1432" spans="2:15" x14ac:dyDescent="0.25">
      <c r="B1432" s="1"/>
      <c r="C1432" s="1"/>
      <c r="D1432" s="1"/>
      <c r="E1432" s="1"/>
      <c r="F1432" s="1"/>
      <c r="G1432" s="1"/>
      <c r="H1432" s="1"/>
      <c r="I1432" s="1"/>
      <c r="J1432" s="1"/>
      <c r="K1432" s="1"/>
      <c r="L1432" s="1"/>
      <c r="M1432" s="1"/>
      <c r="N1432" s="1"/>
      <c r="O1432" s="1"/>
    </row>
    <row r="1433" spans="2:15" x14ac:dyDescent="0.25">
      <c r="B1433" s="1"/>
      <c r="C1433" s="1"/>
      <c r="D1433" s="1"/>
      <c r="E1433" s="1"/>
      <c r="F1433" s="1"/>
      <c r="G1433" s="1"/>
      <c r="H1433" s="1"/>
      <c r="I1433" s="1"/>
      <c r="J1433" s="1"/>
      <c r="K1433" s="1"/>
      <c r="L1433" s="1"/>
      <c r="M1433" s="1"/>
      <c r="N1433" s="1"/>
      <c r="O1433" s="1"/>
    </row>
    <row r="1434" spans="2:15" x14ac:dyDescent="0.25">
      <c r="B1434" s="1"/>
      <c r="C1434" s="1"/>
      <c r="D1434" s="1"/>
      <c r="E1434" s="1"/>
      <c r="F1434" s="1"/>
      <c r="G1434" s="1"/>
      <c r="H1434" s="1"/>
      <c r="I1434" s="1"/>
      <c r="J1434" s="1"/>
      <c r="K1434" s="1"/>
      <c r="L1434" s="1"/>
      <c r="M1434" s="1"/>
      <c r="N1434" s="1"/>
      <c r="O1434" s="1"/>
    </row>
    <row r="1435" spans="2:15" x14ac:dyDescent="0.25">
      <c r="B1435" s="1"/>
      <c r="C1435" s="1"/>
      <c r="D1435" s="1"/>
      <c r="E1435" s="1"/>
      <c r="F1435" s="1"/>
      <c r="G1435" s="1"/>
      <c r="H1435" s="1"/>
      <c r="I1435" s="1"/>
      <c r="J1435" s="1"/>
      <c r="K1435" s="1"/>
      <c r="L1435" s="1"/>
      <c r="M1435" s="1"/>
      <c r="N1435" s="1"/>
      <c r="O1435" s="1"/>
    </row>
    <row r="1436" spans="2:15" x14ac:dyDescent="0.25">
      <c r="B1436" s="1"/>
      <c r="C1436" s="1"/>
      <c r="D1436" s="1"/>
      <c r="E1436" s="1"/>
      <c r="F1436" s="1"/>
      <c r="G1436" s="1"/>
      <c r="H1436" s="1"/>
      <c r="I1436" s="1"/>
      <c r="J1436" s="1"/>
      <c r="K1436" s="1"/>
      <c r="L1436" s="1"/>
      <c r="M1436" s="1"/>
      <c r="N1436" s="1"/>
      <c r="O1436" s="1"/>
    </row>
    <row r="1437" spans="2:15" x14ac:dyDescent="0.25">
      <c r="B1437" s="1"/>
      <c r="C1437" s="1"/>
      <c r="D1437" s="1"/>
      <c r="E1437" s="1"/>
      <c r="F1437" s="1"/>
      <c r="G1437" s="1"/>
      <c r="H1437" s="1"/>
      <c r="I1437" s="1"/>
      <c r="J1437" s="1"/>
      <c r="K1437" s="1"/>
      <c r="L1437" s="1"/>
      <c r="M1437" s="1"/>
      <c r="N1437" s="1"/>
      <c r="O1437" s="1"/>
    </row>
    <row r="1438" spans="2:15" x14ac:dyDescent="0.25">
      <c r="B1438" s="1"/>
      <c r="C1438" s="1"/>
      <c r="D1438" s="1"/>
      <c r="E1438" s="1"/>
      <c r="F1438" s="1"/>
      <c r="G1438" s="1"/>
      <c r="H1438" s="1"/>
      <c r="I1438" s="1"/>
      <c r="J1438" s="1"/>
      <c r="K1438" s="1"/>
      <c r="L1438" s="1"/>
      <c r="M1438" s="1"/>
      <c r="N1438" s="1"/>
      <c r="O1438" s="1"/>
    </row>
    <row r="1439" spans="2:15" x14ac:dyDescent="0.25">
      <c r="B1439" s="1"/>
      <c r="C1439" s="1"/>
      <c r="D1439" s="1"/>
      <c r="E1439" s="1"/>
      <c r="F1439" s="1"/>
      <c r="G1439" s="1"/>
      <c r="H1439" s="1"/>
      <c r="I1439" s="1"/>
      <c r="J1439" s="1"/>
      <c r="K1439" s="1"/>
      <c r="L1439" s="1"/>
      <c r="M1439" s="1"/>
      <c r="N1439" s="1"/>
      <c r="O1439" s="1"/>
    </row>
    <row r="1440" spans="2:15" x14ac:dyDescent="0.25">
      <c r="B1440" s="1"/>
      <c r="C1440" s="1"/>
      <c r="D1440" s="1"/>
      <c r="E1440" s="1"/>
      <c r="F1440" s="1"/>
      <c r="G1440" s="1"/>
      <c r="H1440" s="1"/>
      <c r="I1440" s="1"/>
      <c r="J1440" s="1"/>
      <c r="K1440" s="1"/>
      <c r="L1440" s="1"/>
      <c r="M1440" s="1"/>
      <c r="N1440" s="1"/>
      <c r="O1440" s="1"/>
    </row>
    <row r="1441" spans="2:15" x14ac:dyDescent="0.25">
      <c r="B1441" s="1"/>
      <c r="C1441" s="1"/>
      <c r="D1441" s="1"/>
      <c r="E1441" s="1"/>
      <c r="F1441" s="1"/>
      <c r="G1441" s="1"/>
      <c r="H1441" s="1"/>
      <c r="I1441" s="1"/>
      <c r="J1441" s="1"/>
      <c r="K1441" s="1"/>
      <c r="L1441" s="1"/>
      <c r="M1441" s="1"/>
      <c r="N1441" s="1"/>
      <c r="O1441" s="1"/>
    </row>
    <row r="1442" spans="2:15" x14ac:dyDescent="0.25">
      <c r="B1442" s="1"/>
      <c r="C1442" s="1"/>
      <c r="D1442" s="1"/>
      <c r="E1442" s="1"/>
      <c r="F1442" s="1"/>
      <c r="G1442" s="1"/>
      <c r="H1442" s="1"/>
      <c r="I1442" s="1"/>
      <c r="J1442" s="1"/>
      <c r="K1442" s="1"/>
      <c r="L1442" s="1"/>
      <c r="M1442" s="1"/>
      <c r="N1442" s="1"/>
      <c r="O1442" s="1"/>
    </row>
    <row r="1443" spans="2:15" x14ac:dyDescent="0.25">
      <c r="B1443" s="1"/>
      <c r="C1443" s="1"/>
      <c r="D1443" s="1"/>
      <c r="E1443" s="1"/>
      <c r="F1443" s="1"/>
      <c r="G1443" s="1"/>
      <c r="H1443" s="1"/>
      <c r="I1443" s="1"/>
      <c r="J1443" s="1"/>
      <c r="K1443" s="1"/>
      <c r="L1443" s="1"/>
      <c r="M1443" s="1"/>
      <c r="N1443" s="1"/>
      <c r="O1443" s="1"/>
    </row>
    <row r="1444" spans="2:15" x14ac:dyDescent="0.25">
      <c r="B1444" s="1"/>
      <c r="C1444" s="1"/>
      <c r="D1444" s="1"/>
      <c r="E1444" s="1"/>
      <c r="F1444" s="1"/>
      <c r="G1444" s="1"/>
      <c r="H1444" s="1"/>
      <c r="I1444" s="1"/>
      <c r="J1444" s="1"/>
      <c r="K1444" s="1"/>
      <c r="L1444" s="1"/>
      <c r="M1444" s="1"/>
      <c r="N1444" s="1"/>
      <c r="O1444" s="1"/>
    </row>
    <row r="1445" spans="2:15" x14ac:dyDescent="0.25">
      <c r="B1445" s="1"/>
      <c r="C1445" s="1"/>
      <c r="D1445" s="1"/>
      <c r="E1445" s="1"/>
      <c r="F1445" s="1"/>
      <c r="G1445" s="1"/>
      <c r="H1445" s="1"/>
      <c r="I1445" s="1"/>
      <c r="J1445" s="1"/>
      <c r="K1445" s="1"/>
      <c r="L1445" s="1"/>
      <c r="M1445" s="1"/>
      <c r="N1445" s="1"/>
      <c r="O1445" s="1"/>
    </row>
    <row r="1446" spans="2:15" x14ac:dyDescent="0.25">
      <c r="B1446" s="1"/>
      <c r="C1446" s="1"/>
      <c r="D1446" s="1"/>
      <c r="E1446" s="1"/>
      <c r="F1446" s="1"/>
      <c r="G1446" s="1"/>
      <c r="H1446" s="1"/>
      <c r="I1446" s="1"/>
      <c r="J1446" s="1"/>
      <c r="K1446" s="1"/>
      <c r="L1446" s="1"/>
      <c r="M1446" s="1"/>
      <c r="N1446" s="1"/>
      <c r="O1446" s="1"/>
    </row>
    <row r="1447" spans="2:15" x14ac:dyDescent="0.25">
      <c r="B1447" s="1"/>
      <c r="C1447" s="1"/>
      <c r="D1447" s="1"/>
      <c r="E1447" s="1"/>
      <c r="F1447" s="1"/>
      <c r="G1447" s="1"/>
      <c r="H1447" s="1"/>
      <c r="I1447" s="1"/>
      <c r="J1447" s="1"/>
      <c r="K1447" s="1"/>
      <c r="L1447" s="1"/>
      <c r="M1447" s="1"/>
      <c r="N1447" s="1"/>
      <c r="O1447" s="1"/>
    </row>
    <row r="1448" spans="2:15" x14ac:dyDescent="0.25">
      <c r="B1448" s="1"/>
      <c r="C1448" s="1"/>
      <c r="D1448" s="1"/>
      <c r="E1448" s="1"/>
      <c r="F1448" s="1"/>
      <c r="G1448" s="1"/>
      <c r="H1448" s="1"/>
      <c r="I1448" s="1"/>
      <c r="J1448" s="1"/>
      <c r="K1448" s="1"/>
      <c r="L1448" s="1"/>
      <c r="M1448" s="1"/>
      <c r="N1448" s="1"/>
      <c r="O1448" s="1"/>
    </row>
    <row r="1449" spans="2:15" x14ac:dyDescent="0.25">
      <c r="B1449" s="1"/>
      <c r="C1449" s="1"/>
      <c r="D1449" s="1"/>
      <c r="E1449" s="1"/>
      <c r="F1449" s="1"/>
      <c r="G1449" s="1"/>
      <c r="H1449" s="1"/>
      <c r="I1449" s="1"/>
      <c r="J1449" s="1"/>
      <c r="K1449" s="1"/>
      <c r="L1449" s="1"/>
      <c r="M1449" s="1"/>
      <c r="N1449" s="1"/>
      <c r="O1449" s="1"/>
    </row>
    <row r="1450" spans="2:15" x14ac:dyDescent="0.25">
      <c r="B1450" s="1"/>
      <c r="C1450" s="1"/>
      <c r="D1450" s="1"/>
      <c r="E1450" s="1"/>
      <c r="F1450" s="1"/>
      <c r="G1450" s="1"/>
      <c r="H1450" s="1"/>
      <c r="I1450" s="1"/>
      <c r="J1450" s="1"/>
      <c r="K1450" s="1"/>
      <c r="L1450" s="1"/>
      <c r="M1450" s="1"/>
      <c r="N1450" s="1"/>
      <c r="O1450" s="1"/>
    </row>
    <row r="1451" spans="2:15" x14ac:dyDescent="0.25">
      <c r="B1451" s="1"/>
      <c r="C1451" s="1"/>
      <c r="D1451" s="1"/>
      <c r="E1451" s="1"/>
      <c r="F1451" s="1"/>
      <c r="G1451" s="1"/>
      <c r="H1451" s="1"/>
      <c r="I1451" s="1"/>
      <c r="J1451" s="1"/>
      <c r="K1451" s="1"/>
      <c r="L1451" s="1"/>
      <c r="M1451" s="1"/>
      <c r="N1451" s="1"/>
      <c r="O1451" s="1"/>
    </row>
    <row r="1452" spans="2:15" x14ac:dyDescent="0.25">
      <c r="B1452" s="1"/>
      <c r="C1452" s="1"/>
      <c r="D1452" s="1"/>
      <c r="E1452" s="1"/>
      <c r="F1452" s="1"/>
      <c r="G1452" s="1"/>
      <c r="H1452" s="1"/>
      <c r="I1452" s="1"/>
      <c r="J1452" s="1"/>
      <c r="K1452" s="1"/>
      <c r="L1452" s="1"/>
      <c r="M1452" s="1"/>
      <c r="N1452" s="1"/>
      <c r="O1452" s="1"/>
    </row>
    <row r="1453" spans="2:15" x14ac:dyDescent="0.25">
      <c r="B1453" s="1"/>
      <c r="C1453" s="1"/>
      <c r="D1453" s="1"/>
      <c r="E1453" s="1"/>
      <c r="F1453" s="1"/>
      <c r="G1453" s="1"/>
      <c r="H1453" s="1"/>
      <c r="I1453" s="1"/>
      <c r="J1453" s="1"/>
      <c r="K1453" s="1"/>
      <c r="L1453" s="1"/>
      <c r="M1453" s="1"/>
      <c r="N1453" s="1"/>
      <c r="O1453" s="1"/>
    </row>
    <row r="1454" spans="2:15" x14ac:dyDescent="0.25">
      <c r="B1454" s="1"/>
      <c r="C1454" s="1"/>
      <c r="D1454" s="1"/>
      <c r="E1454" s="1"/>
      <c r="F1454" s="1"/>
      <c r="G1454" s="1"/>
      <c r="H1454" s="1"/>
      <c r="I1454" s="1"/>
      <c r="J1454" s="1"/>
      <c r="K1454" s="1"/>
      <c r="L1454" s="1"/>
      <c r="M1454" s="1"/>
      <c r="N1454" s="1"/>
      <c r="O1454" s="1"/>
    </row>
    <row r="1455" spans="2:15" x14ac:dyDescent="0.25">
      <c r="B1455" s="1"/>
      <c r="C1455" s="1"/>
      <c r="D1455" s="1"/>
      <c r="E1455" s="1"/>
      <c r="F1455" s="1"/>
      <c r="G1455" s="1"/>
      <c r="H1455" s="1"/>
      <c r="I1455" s="1"/>
      <c r="J1455" s="1"/>
      <c r="K1455" s="1"/>
      <c r="L1455" s="1"/>
      <c r="M1455" s="1"/>
      <c r="N1455" s="1"/>
      <c r="O1455" s="1"/>
    </row>
    <row r="1456" spans="2:15" x14ac:dyDescent="0.25">
      <c r="B1456" s="1"/>
      <c r="C1456" s="1"/>
      <c r="D1456" s="1"/>
      <c r="E1456" s="1"/>
      <c r="F1456" s="1"/>
      <c r="G1456" s="1"/>
      <c r="H1456" s="1"/>
      <c r="I1456" s="1"/>
      <c r="J1456" s="1"/>
      <c r="K1456" s="1"/>
      <c r="L1456" s="1"/>
      <c r="M1456" s="1"/>
      <c r="N1456" s="1"/>
      <c r="O1456" s="1"/>
    </row>
    <row r="1457" spans="2:15" x14ac:dyDescent="0.25">
      <c r="B1457" s="1"/>
      <c r="C1457" s="1"/>
      <c r="D1457" s="1"/>
      <c r="E1457" s="1"/>
      <c r="F1457" s="1"/>
      <c r="G1457" s="1"/>
      <c r="H1457" s="1"/>
      <c r="I1457" s="1"/>
      <c r="J1457" s="1"/>
      <c r="K1457" s="1"/>
      <c r="L1457" s="1"/>
      <c r="M1457" s="1"/>
      <c r="N1457" s="1"/>
      <c r="O1457" s="1"/>
    </row>
    <row r="1458" spans="2:15" x14ac:dyDescent="0.25">
      <c r="B1458" s="1"/>
      <c r="C1458" s="1"/>
      <c r="D1458" s="1"/>
      <c r="E1458" s="1"/>
      <c r="F1458" s="1"/>
      <c r="G1458" s="1"/>
      <c r="H1458" s="1"/>
      <c r="I1458" s="1"/>
      <c r="J1458" s="1"/>
      <c r="K1458" s="1"/>
      <c r="L1458" s="1"/>
      <c r="M1458" s="1"/>
      <c r="N1458" s="1"/>
      <c r="O1458" s="1"/>
    </row>
    <row r="1459" spans="2:15" x14ac:dyDescent="0.25">
      <c r="B1459" s="1"/>
      <c r="C1459" s="1"/>
      <c r="D1459" s="1"/>
      <c r="E1459" s="1"/>
      <c r="F1459" s="1"/>
      <c r="G1459" s="1"/>
      <c r="H1459" s="1"/>
      <c r="I1459" s="1"/>
      <c r="J1459" s="1"/>
      <c r="K1459" s="1"/>
      <c r="L1459" s="1"/>
      <c r="M1459" s="1"/>
      <c r="N1459" s="1"/>
      <c r="O1459" s="1"/>
    </row>
    <row r="1460" spans="2:15" x14ac:dyDescent="0.25">
      <c r="B1460" s="1"/>
      <c r="C1460" s="1"/>
      <c r="D1460" s="1"/>
      <c r="E1460" s="1"/>
      <c r="F1460" s="1"/>
      <c r="G1460" s="1"/>
      <c r="H1460" s="1"/>
      <c r="I1460" s="1"/>
      <c r="J1460" s="1"/>
      <c r="K1460" s="1"/>
      <c r="L1460" s="1"/>
      <c r="M1460" s="1"/>
      <c r="N1460" s="1"/>
      <c r="O1460" s="1"/>
    </row>
    <row r="1461" spans="2:15" x14ac:dyDescent="0.25">
      <c r="B1461" s="1"/>
      <c r="C1461" s="1"/>
      <c r="D1461" s="1"/>
      <c r="E1461" s="1"/>
      <c r="F1461" s="1"/>
      <c r="G1461" s="1"/>
      <c r="H1461" s="1"/>
      <c r="I1461" s="1"/>
      <c r="J1461" s="1"/>
      <c r="K1461" s="1"/>
      <c r="L1461" s="1"/>
      <c r="M1461" s="1"/>
      <c r="N1461" s="1"/>
      <c r="O1461" s="1"/>
    </row>
    <row r="1462" spans="2:15" x14ac:dyDescent="0.25">
      <c r="B1462" s="1"/>
      <c r="C1462" s="1"/>
      <c r="D1462" s="1"/>
      <c r="E1462" s="1"/>
      <c r="F1462" s="1"/>
      <c r="G1462" s="1"/>
      <c r="H1462" s="1"/>
      <c r="I1462" s="1"/>
      <c r="J1462" s="1"/>
      <c r="K1462" s="1"/>
      <c r="L1462" s="1"/>
      <c r="M1462" s="1"/>
      <c r="N1462" s="1"/>
      <c r="O1462" s="1"/>
    </row>
    <row r="1463" spans="2:15" x14ac:dyDescent="0.25">
      <c r="B1463" s="1"/>
      <c r="C1463" s="1"/>
      <c r="D1463" s="1"/>
      <c r="E1463" s="1"/>
      <c r="F1463" s="1"/>
      <c r="G1463" s="1"/>
      <c r="H1463" s="1"/>
      <c r="I1463" s="1"/>
      <c r="J1463" s="1"/>
      <c r="K1463" s="1"/>
      <c r="L1463" s="1"/>
      <c r="M1463" s="1"/>
      <c r="N1463" s="1"/>
      <c r="O1463" s="1"/>
    </row>
    <row r="1464" spans="2:15" x14ac:dyDescent="0.25">
      <c r="B1464" s="1"/>
      <c r="C1464" s="1"/>
      <c r="D1464" s="1"/>
      <c r="E1464" s="1"/>
      <c r="F1464" s="1"/>
      <c r="G1464" s="1"/>
      <c r="H1464" s="1"/>
      <c r="I1464" s="1"/>
      <c r="J1464" s="1"/>
      <c r="K1464" s="1"/>
      <c r="L1464" s="1"/>
      <c r="M1464" s="1"/>
      <c r="N1464" s="1"/>
      <c r="O1464" s="1"/>
    </row>
    <row r="1465" spans="2:15" x14ac:dyDescent="0.25">
      <c r="B1465" s="1"/>
      <c r="C1465" s="1"/>
      <c r="D1465" s="1"/>
      <c r="E1465" s="1"/>
      <c r="F1465" s="1"/>
      <c r="G1465" s="1"/>
      <c r="H1465" s="1"/>
      <c r="I1465" s="1"/>
      <c r="J1465" s="1"/>
      <c r="K1465" s="1"/>
      <c r="L1465" s="1"/>
      <c r="M1465" s="1"/>
      <c r="N1465" s="1"/>
      <c r="O1465" s="1"/>
    </row>
    <row r="1466" spans="2:15" x14ac:dyDescent="0.25">
      <c r="B1466" s="1"/>
      <c r="C1466" s="1"/>
      <c r="D1466" s="1"/>
      <c r="E1466" s="1"/>
      <c r="F1466" s="1"/>
      <c r="G1466" s="1"/>
      <c r="H1466" s="1"/>
      <c r="I1466" s="1"/>
      <c r="J1466" s="1"/>
      <c r="K1466" s="1"/>
      <c r="L1466" s="1"/>
      <c r="M1466" s="1"/>
      <c r="N1466" s="1"/>
      <c r="O1466" s="1"/>
    </row>
    <row r="1467" spans="2:15" x14ac:dyDescent="0.25">
      <c r="B1467" s="1"/>
      <c r="C1467" s="1"/>
      <c r="D1467" s="1"/>
      <c r="E1467" s="1"/>
      <c r="F1467" s="1"/>
      <c r="G1467" s="1"/>
      <c r="H1467" s="1"/>
      <c r="I1467" s="1"/>
      <c r="J1467" s="1"/>
      <c r="K1467" s="1"/>
      <c r="L1467" s="1"/>
      <c r="M1467" s="1"/>
      <c r="N1467" s="1"/>
      <c r="O1467" s="1"/>
    </row>
    <row r="1468" spans="2:15" x14ac:dyDescent="0.25">
      <c r="B1468" s="1"/>
      <c r="C1468" s="1"/>
      <c r="D1468" s="1"/>
      <c r="E1468" s="1"/>
      <c r="F1468" s="1"/>
      <c r="G1468" s="1"/>
      <c r="H1468" s="1"/>
      <c r="I1468" s="1"/>
      <c r="J1468" s="1"/>
      <c r="K1468" s="1"/>
      <c r="L1468" s="1"/>
      <c r="M1468" s="1"/>
      <c r="N1468" s="1"/>
      <c r="O1468" s="1"/>
    </row>
    <row r="1469" spans="2:15" x14ac:dyDescent="0.25">
      <c r="B1469" s="1"/>
      <c r="C1469" s="1"/>
      <c r="D1469" s="1"/>
      <c r="E1469" s="1"/>
      <c r="F1469" s="1"/>
      <c r="G1469" s="1"/>
      <c r="H1469" s="1"/>
      <c r="I1469" s="1"/>
      <c r="J1469" s="1"/>
      <c r="K1469" s="1"/>
      <c r="L1469" s="1"/>
      <c r="M1469" s="1"/>
      <c r="N1469" s="1"/>
      <c r="O1469" s="1"/>
    </row>
    <row r="1470" spans="2:15" x14ac:dyDescent="0.25">
      <c r="B1470" s="1"/>
      <c r="C1470" s="1"/>
      <c r="D1470" s="1"/>
      <c r="E1470" s="1"/>
      <c r="F1470" s="1"/>
      <c r="G1470" s="1"/>
      <c r="H1470" s="1"/>
      <c r="I1470" s="1"/>
      <c r="J1470" s="1"/>
      <c r="K1470" s="1"/>
      <c r="L1470" s="1"/>
      <c r="M1470" s="1"/>
      <c r="N1470" s="1"/>
      <c r="O1470" s="1"/>
    </row>
    <row r="1471" spans="2:15" x14ac:dyDescent="0.25">
      <c r="B1471" s="1"/>
      <c r="C1471" s="1"/>
      <c r="D1471" s="1"/>
      <c r="E1471" s="1"/>
      <c r="F1471" s="1"/>
      <c r="G1471" s="1"/>
      <c r="H1471" s="1"/>
      <c r="I1471" s="1"/>
      <c r="J1471" s="1"/>
      <c r="K1471" s="1"/>
      <c r="L1471" s="1"/>
      <c r="M1471" s="1"/>
      <c r="N1471" s="1"/>
      <c r="O1471" s="1"/>
    </row>
    <row r="1472" spans="2:15" x14ac:dyDescent="0.25">
      <c r="B1472" s="1"/>
      <c r="C1472" s="1"/>
      <c r="D1472" s="1"/>
      <c r="E1472" s="1"/>
      <c r="F1472" s="1"/>
      <c r="G1472" s="1"/>
      <c r="H1472" s="1"/>
      <c r="I1472" s="1"/>
      <c r="J1472" s="1"/>
      <c r="K1472" s="1"/>
      <c r="L1472" s="1"/>
      <c r="M1472" s="1"/>
      <c r="N1472" s="1"/>
      <c r="O1472" s="1"/>
    </row>
    <row r="1473" spans="2:15" x14ac:dyDescent="0.25">
      <c r="B1473" s="1"/>
      <c r="C1473" s="1"/>
      <c r="D1473" s="1"/>
      <c r="E1473" s="1"/>
      <c r="F1473" s="1"/>
      <c r="G1473" s="1"/>
      <c r="H1473" s="1"/>
      <c r="I1473" s="1"/>
      <c r="J1473" s="1"/>
      <c r="K1473" s="1"/>
      <c r="L1473" s="1"/>
      <c r="M1473" s="1"/>
      <c r="N1473" s="1"/>
      <c r="O1473" s="1"/>
    </row>
    <row r="1474" spans="2:15" x14ac:dyDescent="0.25">
      <c r="B1474" s="1"/>
      <c r="C1474" s="1"/>
      <c r="D1474" s="1"/>
      <c r="E1474" s="1"/>
      <c r="F1474" s="1"/>
      <c r="G1474" s="1"/>
      <c r="H1474" s="1"/>
      <c r="I1474" s="1"/>
      <c r="J1474" s="1"/>
      <c r="K1474" s="1"/>
      <c r="L1474" s="1"/>
      <c r="M1474" s="1"/>
      <c r="N1474" s="1"/>
      <c r="O1474" s="1"/>
    </row>
    <row r="1475" spans="2:15" x14ac:dyDescent="0.25">
      <c r="B1475" s="1"/>
      <c r="C1475" s="1"/>
      <c r="D1475" s="1"/>
      <c r="E1475" s="1"/>
      <c r="F1475" s="1"/>
      <c r="G1475" s="1"/>
      <c r="H1475" s="1"/>
      <c r="I1475" s="1"/>
      <c r="J1475" s="1"/>
      <c r="K1475" s="1"/>
      <c r="L1475" s="1"/>
      <c r="M1475" s="1"/>
      <c r="N1475" s="1"/>
      <c r="O1475" s="1"/>
    </row>
    <row r="1476" spans="2:15" x14ac:dyDescent="0.25">
      <c r="B1476" s="1"/>
      <c r="C1476" s="1"/>
      <c r="D1476" s="1"/>
      <c r="E1476" s="1"/>
      <c r="F1476" s="1"/>
      <c r="G1476" s="1"/>
      <c r="H1476" s="1"/>
      <c r="I1476" s="1"/>
      <c r="J1476" s="1"/>
      <c r="K1476" s="1"/>
      <c r="L1476" s="1"/>
      <c r="M1476" s="1"/>
      <c r="N1476" s="1"/>
      <c r="O1476" s="1"/>
    </row>
    <row r="1477" spans="2:15" x14ac:dyDescent="0.25">
      <c r="B1477" s="1"/>
      <c r="C1477" s="1"/>
      <c r="D1477" s="1"/>
      <c r="E1477" s="1"/>
      <c r="F1477" s="1"/>
      <c r="G1477" s="1"/>
      <c r="H1477" s="1"/>
      <c r="I1477" s="1"/>
      <c r="J1477" s="1"/>
      <c r="K1477" s="1"/>
      <c r="L1477" s="1"/>
      <c r="M1477" s="1"/>
      <c r="N1477" s="1"/>
      <c r="O1477" s="1"/>
    </row>
    <row r="1478" spans="2:15" x14ac:dyDescent="0.25">
      <c r="B1478" s="1"/>
      <c r="C1478" s="1"/>
      <c r="D1478" s="1"/>
      <c r="E1478" s="1"/>
      <c r="F1478" s="1"/>
      <c r="G1478" s="1"/>
      <c r="H1478" s="1"/>
      <c r="I1478" s="1"/>
      <c r="J1478" s="1"/>
      <c r="K1478" s="1"/>
      <c r="L1478" s="1"/>
      <c r="M1478" s="1"/>
      <c r="N1478" s="1"/>
      <c r="O1478" s="1"/>
    </row>
    <row r="1479" spans="2:15" x14ac:dyDescent="0.25">
      <c r="B1479" s="1"/>
      <c r="C1479" s="1"/>
      <c r="D1479" s="1"/>
      <c r="E1479" s="1"/>
      <c r="F1479" s="1"/>
      <c r="G1479" s="1"/>
      <c r="H1479" s="1"/>
      <c r="I1479" s="1"/>
      <c r="J1479" s="1"/>
      <c r="K1479" s="1"/>
      <c r="L1479" s="1"/>
      <c r="M1479" s="1"/>
      <c r="N1479" s="1"/>
      <c r="O1479" s="1"/>
    </row>
    <row r="1480" spans="2:15" x14ac:dyDescent="0.25">
      <c r="B1480" s="1"/>
      <c r="C1480" s="1"/>
      <c r="D1480" s="1"/>
      <c r="E1480" s="1"/>
      <c r="F1480" s="1"/>
      <c r="G1480" s="1"/>
      <c r="H1480" s="1"/>
      <c r="I1480" s="1"/>
      <c r="J1480" s="1"/>
      <c r="K1480" s="1"/>
      <c r="L1480" s="1"/>
      <c r="M1480" s="1"/>
      <c r="N1480" s="1"/>
      <c r="O1480" s="1"/>
    </row>
    <row r="1481" spans="2:15" x14ac:dyDescent="0.25">
      <c r="B1481" s="1"/>
      <c r="C1481" s="1"/>
      <c r="D1481" s="1"/>
      <c r="E1481" s="1"/>
      <c r="F1481" s="1"/>
      <c r="G1481" s="1"/>
      <c r="H1481" s="1"/>
      <c r="I1481" s="1"/>
      <c r="J1481" s="1"/>
      <c r="K1481" s="1"/>
      <c r="L1481" s="1"/>
      <c r="M1481" s="1"/>
      <c r="N1481" s="1"/>
      <c r="O1481" s="1"/>
    </row>
    <row r="1482" spans="2:15" x14ac:dyDescent="0.25">
      <c r="B1482" s="1"/>
      <c r="C1482" s="1"/>
      <c r="D1482" s="1"/>
      <c r="E1482" s="1"/>
      <c r="F1482" s="1"/>
      <c r="G1482" s="1"/>
      <c r="H1482" s="1"/>
      <c r="I1482" s="1"/>
      <c r="J1482" s="1"/>
      <c r="K1482" s="1"/>
      <c r="L1482" s="1"/>
      <c r="M1482" s="1"/>
      <c r="N1482" s="1"/>
      <c r="O1482" s="1"/>
    </row>
    <row r="1483" spans="2:15" x14ac:dyDescent="0.25">
      <c r="B1483" s="1"/>
      <c r="C1483" s="1"/>
      <c r="D1483" s="1"/>
      <c r="E1483" s="1"/>
      <c r="F1483" s="1"/>
      <c r="G1483" s="1"/>
      <c r="H1483" s="1"/>
      <c r="I1483" s="1"/>
      <c r="J1483" s="1"/>
      <c r="K1483" s="1"/>
      <c r="L1483" s="1"/>
      <c r="M1483" s="1"/>
      <c r="N1483" s="1"/>
      <c r="O1483" s="1"/>
    </row>
    <row r="1484" spans="2:15" x14ac:dyDescent="0.25">
      <c r="B1484" s="1"/>
      <c r="C1484" s="1"/>
      <c r="D1484" s="1"/>
      <c r="E1484" s="1"/>
      <c r="F1484" s="1"/>
      <c r="G1484" s="1"/>
      <c r="H1484" s="1"/>
      <c r="I1484" s="1"/>
      <c r="J1484" s="1"/>
      <c r="K1484" s="1"/>
      <c r="L1484" s="1"/>
      <c r="M1484" s="1"/>
      <c r="N1484" s="1"/>
      <c r="O1484" s="1"/>
    </row>
    <row r="1485" spans="2:15" x14ac:dyDescent="0.25">
      <c r="B1485" s="1"/>
      <c r="C1485" s="1"/>
      <c r="D1485" s="1"/>
      <c r="E1485" s="1"/>
      <c r="F1485" s="1"/>
      <c r="G1485" s="1"/>
      <c r="H1485" s="1"/>
      <c r="I1485" s="1"/>
      <c r="J1485" s="1"/>
      <c r="K1485" s="1"/>
      <c r="L1485" s="1"/>
      <c r="M1485" s="1"/>
      <c r="N1485" s="1"/>
      <c r="O1485" s="1"/>
    </row>
    <row r="1486" spans="2:15" x14ac:dyDescent="0.25">
      <c r="B1486" s="1"/>
      <c r="C1486" s="1"/>
      <c r="D1486" s="1"/>
      <c r="E1486" s="1"/>
      <c r="F1486" s="1"/>
      <c r="G1486" s="1"/>
      <c r="H1486" s="1"/>
      <c r="I1486" s="1"/>
      <c r="J1486" s="1"/>
      <c r="K1486" s="1"/>
      <c r="L1486" s="1"/>
      <c r="M1486" s="1"/>
      <c r="N1486" s="1"/>
      <c r="O1486" s="1"/>
    </row>
    <row r="1487" spans="2:15" x14ac:dyDescent="0.25">
      <c r="B1487" s="1"/>
      <c r="C1487" s="1"/>
      <c r="D1487" s="1"/>
      <c r="E1487" s="1"/>
      <c r="F1487" s="1"/>
      <c r="G1487" s="1"/>
      <c r="H1487" s="1"/>
      <c r="I1487" s="1"/>
      <c r="J1487" s="1"/>
      <c r="K1487" s="1"/>
      <c r="L1487" s="1"/>
      <c r="M1487" s="1"/>
      <c r="N1487" s="1"/>
      <c r="O1487" s="1"/>
    </row>
    <row r="1488" spans="2:15" x14ac:dyDescent="0.25">
      <c r="B1488" s="1"/>
      <c r="C1488" s="1"/>
      <c r="D1488" s="1"/>
      <c r="E1488" s="1"/>
      <c r="F1488" s="1"/>
      <c r="G1488" s="1"/>
      <c r="H1488" s="1"/>
      <c r="I1488" s="1"/>
      <c r="J1488" s="1"/>
      <c r="K1488" s="1"/>
      <c r="L1488" s="1"/>
      <c r="M1488" s="1"/>
      <c r="N1488" s="1"/>
      <c r="O1488" s="1"/>
    </row>
    <row r="1489" spans="2:15" x14ac:dyDescent="0.25">
      <c r="B1489" s="1"/>
      <c r="C1489" s="1"/>
      <c r="D1489" s="1"/>
      <c r="E1489" s="1"/>
      <c r="F1489" s="1"/>
      <c r="G1489" s="1"/>
      <c r="H1489" s="1"/>
      <c r="I1489" s="1"/>
      <c r="J1489" s="1"/>
      <c r="K1489" s="1"/>
      <c r="L1489" s="1"/>
      <c r="M1489" s="1"/>
      <c r="N1489" s="1"/>
      <c r="O1489" s="1"/>
    </row>
    <row r="1490" spans="2:15" x14ac:dyDescent="0.25">
      <c r="B1490" s="1"/>
      <c r="C1490" s="1"/>
      <c r="D1490" s="1"/>
      <c r="E1490" s="1"/>
      <c r="F1490" s="1"/>
      <c r="G1490" s="1"/>
      <c r="H1490" s="1"/>
      <c r="I1490" s="1"/>
      <c r="J1490" s="1"/>
      <c r="K1490" s="1"/>
      <c r="L1490" s="1"/>
      <c r="M1490" s="1"/>
      <c r="N1490" s="1"/>
      <c r="O1490" s="1"/>
    </row>
    <row r="1491" spans="2:15" x14ac:dyDescent="0.25">
      <c r="B1491" s="1"/>
      <c r="C1491" s="1"/>
      <c r="D1491" s="1"/>
      <c r="E1491" s="1"/>
      <c r="F1491" s="1"/>
      <c r="G1491" s="1"/>
      <c r="H1491" s="1"/>
      <c r="I1491" s="1"/>
      <c r="J1491" s="1"/>
      <c r="K1491" s="1"/>
      <c r="L1491" s="1"/>
      <c r="M1491" s="1"/>
      <c r="N1491" s="1"/>
      <c r="O1491" s="1"/>
    </row>
    <row r="1492" spans="2:15" x14ac:dyDescent="0.25">
      <c r="B1492" s="1"/>
      <c r="C1492" s="1"/>
      <c r="D1492" s="1"/>
      <c r="E1492" s="1"/>
      <c r="F1492" s="1"/>
      <c r="G1492" s="1"/>
      <c r="H1492" s="1"/>
      <c r="I1492" s="1"/>
      <c r="J1492" s="1"/>
      <c r="K1492" s="1"/>
      <c r="L1492" s="1"/>
      <c r="M1492" s="1"/>
      <c r="N1492" s="1"/>
      <c r="O1492" s="1"/>
    </row>
    <row r="1493" spans="2:15" x14ac:dyDescent="0.25">
      <c r="B1493" s="1"/>
      <c r="C1493" s="1"/>
      <c r="D1493" s="1"/>
      <c r="E1493" s="1"/>
      <c r="F1493" s="1"/>
      <c r="G1493" s="1"/>
      <c r="H1493" s="1"/>
      <c r="I1493" s="1"/>
      <c r="J1493" s="1"/>
      <c r="K1493" s="1"/>
      <c r="L1493" s="1"/>
      <c r="M1493" s="1"/>
      <c r="N1493" s="1"/>
      <c r="O1493" s="1"/>
    </row>
    <row r="1494" spans="2:15" x14ac:dyDescent="0.25">
      <c r="B1494" s="1"/>
      <c r="C1494" s="1"/>
      <c r="D1494" s="1"/>
      <c r="E1494" s="1"/>
      <c r="F1494" s="1"/>
      <c r="G1494" s="1"/>
      <c r="H1494" s="1"/>
      <c r="I1494" s="1"/>
      <c r="J1494" s="1"/>
      <c r="K1494" s="1"/>
      <c r="L1494" s="1"/>
      <c r="M1494" s="1"/>
      <c r="N1494" s="1"/>
      <c r="O1494" s="1"/>
    </row>
    <row r="1495" spans="2:15" x14ac:dyDescent="0.25">
      <c r="B1495" s="1"/>
      <c r="C1495" s="1"/>
      <c r="D1495" s="1"/>
      <c r="E1495" s="1"/>
      <c r="F1495" s="1"/>
      <c r="G1495" s="1"/>
      <c r="H1495" s="1"/>
      <c r="I1495" s="1"/>
      <c r="J1495" s="1"/>
      <c r="K1495" s="1"/>
      <c r="L1495" s="1"/>
      <c r="M1495" s="1"/>
      <c r="N1495" s="1"/>
      <c r="O1495" s="1"/>
    </row>
    <row r="1496" spans="2:15" x14ac:dyDescent="0.25">
      <c r="B1496" s="1"/>
      <c r="C1496" s="1"/>
      <c r="D1496" s="1"/>
      <c r="E1496" s="1"/>
      <c r="F1496" s="1"/>
      <c r="G1496" s="1"/>
      <c r="H1496" s="1"/>
      <c r="I1496" s="1"/>
      <c r="J1496" s="1"/>
      <c r="K1496" s="1"/>
      <c r="L1496" s="1"/>
      <c r="M1496" s="1"/>
      <c r="N1496" s="1"/>
      <c r="O1496" s="1"/>
    </row>
    <row r="1497" spans="2:15" x14ac:dyDescent="0.25">
      <c r="B1497" s="1"/>
      <c r="C1497" s="1"/>
      <c r="D1497" s="1"/>
      <c r="E1497" s="1"/>
      <c r="F1497" s="1"/>
      <c r="G1497" s="1"/>
      <c r="H1497" s="1"/>
      <c r="I1497" s="1"/>
      <c r="J1497" s="1"/>
      <c r="K1497" s="1"/>
      <c r="L1497" s="1"/>
      <c r="M1497" s="1"/>
      <c r="N1497" s="1"/>
      <c r="O1497" s="1"/>
    </row>
    <row r="1498" spans="2:15" x14ac:dyDescent="0.25">
      <c r="B1498" s="1"/>
      <c r="C1498" s="1"/>
      <c r="D1498" s="1"/>
      <c r="E1498" s="1"/>
      <c r="F1498" s="1"/>
      <c r="G1498" s="1"/>
      <c r="H1498" s="1"/>
      <c r="I1498" s="1"/>
      <c r="J1498" s="1"/>
      <c r="K1498" s="1"/>
      <c r="L1498" s="1"/>
      <c r="M1498" s="1"/>
      <c r="N1498" s="1"/>
      <c r="O1498" s="1"/>
    </row>
    <row r="1499" spans="2:15" x14ac:dyDescent="0.25">
      <c r="B1499" s="1"/>
      <c r="C1499" s="1"/>
      <c r="D1499" s="1"/>
      <c r="E1499" s="1"/>
      <c r="F1499" s="1"/>
      <c r="G1499" s="1"/>
      <c r="H1499" s="1"/>
      <c r="I1499" s="1"/>
      <c r="J1499" s="1"/>
      <c r="K1499" s="1"/>
      <c r="L1499" s="1"/>
      <c r="M1499" s="1"/>
      <c r="N1499" s="1"/>
      <c r="O1499" s="1"/>
    </row>
    <row r="1500" spans="2:15" x14ac:dyDescent="0.25">
      <c r="B1500" s="1"/>
      <c r="C1500" s="1"/>
      <c r="D1500" s="1"/>
      <c r="E1500" s="1"/>
      <c r="F1500" s="1"/>
      <c r="G1500" s="1"/>
      <c r="H1500" s="1"/>
      <c r="I1500" s="1"/>
      <c r="J1500" s="1"/>
      <c r="K1500" s="1"/>
      <c r="L1500" s="1"/>
      <c r="M1500" s="1"/>
      <c r="N1500" s="1"/>
      <c r="O1500" s="1"/>
    </row>
    <row r="1501" spans="2:15" x14ac:dyDescent="0.25">
      <c r="B1501" s="1"/>
      <c r="C1501" s="1"/>
      <c r="D1501" s="1"/>
      <c r="E1501" s="1"/>
      <c r="F1501" s="1"/>
      <c r="G1501" s="1"/>
      <c r="H1501" s="1"/>
      <c r="I1501" s="1"/>
      <c r="J1501" s="1"/>
      <c r="K1501" s="1"/>
      <c r="L1501" s="1"/>
      <c r="M1501" s="1"/>
      <c r="N1501" s="1"/>
      <c r="O1501" s="1"/>
    </row>
    <row r="1502" spans="2:15" x14ac:dyDescent="0.25">
      <c r="B1502" s="1"/>
      <c r="C1502" s="1"/>
      <c r="D1502" s="1"/>
      <c r="E1502" s="1"/>
      <c r="F1502" s="1"/>
      <c r="G1502" s="1"/>
      <c r="H1502" s="1"/>
      <c r="I1502" s="1"/>
      <c r="J1502" s="1"/>
      <c r="K1502" s="1"/>
      <c r="L1502" s="1"/>
      <c r="M1502" s="1"/>
      <c r="N1502" s="1"/>
      <c r="O1502" s="1"/>
    </row>
    <row r="1503" spans="2:15" x14ac:dyDescent="0.25">
      <c r="B1503" s="1"/>
      <c r="C1503" s="1"/>
      <c r="D1503" s="1"/>
      <c r="E1503" s="1"/>
      <c r="F1503" s="1"/>
      <c r="G1503" s="1"/>
      <c r="H1503" s="1"/>
      <c r="I1503" s="1"/>
      <c r="J1503" s="1"/>
      <c r="K1503" s="1"/>
      <c r="L1503" s="1"/>
      <c r="M1503" s="1"/>
      <c r="N1503" s="1"/>
      <c r="O1503" s="1"/>
    </row>
    <row r="1504" spans="2:15" x14ac:dyDescent="0.25">
      <c r="B1504" s="1"/>
      <c r="C1504" s="1"/>
      <c r="D1504" s="1"/>
      <c r="E1504" s="1"/>
      <c r="F1504" s="1"/>
      <c r="G1504" s="1"/>
      <c r="H1504" s="1"/>
      <c r="I1504" s="1"/>
      <c r="J1504" s="1"/>
      <c r="K1504" s="1"/>
      <c r="L1504" s="1"/>
      <c r="M1504" s="1"/>
      <c r="N1504" s="1"/>
      <c r="O1504" s="1"/>
    </row>
    <row r="1505" spans="2:15" x14ac:dyDescent="0.25">
      <c r="B1505" s="1"/>
      <c r="C1505" s="1"/>
      <c r="D1505" s="1"/>
      <c r="E1505" s="1"/>
      <c r="F1505" s="1"/>
      <c r="G1505" s="1"/>
      <c r="H1505" s="1"/>
      <c r="I1505" s="1"/>
      <c r="J1505" s="1"/>
      <c r="K1505" s="1"/>
      <c r="L1505" s="1"/>
      <c r="M1505" s="1"/>
      <c r="N1505" s="1"/>
      <c r="O1505" s="1"/>
    </row>
    <row r="1506" spans="2:15" x14ac:dyDescent="0.25">
      <c r="B1506" s="1"/>
      <c r="C1506" s="1"/>
      <c r="D1506" s="1"/>
      <c r="E1506" s="1"/>
      <c r="F1506" s="1"/>
      <c r="G1506" s="1"/>
      <c r="H1506" s="1"/>
      <c r="I1506" s="1"/>
      <c r="J1506" s="1"/>
      <c r="K1506" s="1"/>
      <c r="L1506" s="1"/>
      <c r="M1506" s="1"/>
      <c r="N1506" s="1"/>
      <c r="O1506" s="1"/>
    </row>
    <row r="1507" spans="2:15" x14ac:dyDescent="0.25">
      <c r="B1507" s="1"/>
      <c r="C1507" s="1"/>
      <c r="D1507" s="1"/>
      <c r="E1507" s="1"/>
      <c r="F1507" s="1"/>
      <c r="G1507" s="1"/>
      <c r="H1507" s="1"/>
      <c r="I1507" s="1"/>
      <c r="J1507" s="1"/>
      <c r="K1507" s="1"/>
      <c r="L1507" s="1"/>
      <c r="M1507" s="1"/>
      <c r="N1507" s="1"/>
      <c r="O1507" s="1"/>
    </row>
    <row r="1508" spans="2:15" x14ac:dyDescent="0.25">
      <c r="B1508" s="1"/>
      <c r="C1508" s="1"/>
      <c r="D1508" s="1"/>
      <c r="E1508" s="1"/>
      <c r="F1508" s="1"/>
      <c r="G1508" s="1"/>
      <c r="H1508" s="1"/>
      <c r="I1508" s="1"/>
      <c r="J1508" s="1"/>
      <c r="K1508" s="1"/>
      <c r="L1508" s="1"/>
      <c r="M1508" s="1"/>
      <c r="N1508" s="1"/>
      <c r="O1508" s="1"/>
    </row>
    <row r="1509" spans="2:15" x14ac:dyDescent="0.25">
      <c r="B1509" s="1"/>
      <c r="C1509" s="1"/>
      <c r="D1509" s="1"/>
      <c r="E1509" s="1"/>
      <c r="F1509" s="1"/>
      <c r="G1509" s="1"/>
      <c r="H1509" s="1"/>
      <c r="I1509" s="1"/>
      <c r="J1509" s="1"/>
      <c r="K1509" s="1"/>
      <c r="L1509" s="1"/>
      <c r="M1509" s="1"/>
      <c r="N1509" s="1"/>
      <c r="O1509" s="1"/>
    </row>
    <row r="1510" spans="2:15" x14ac:dyDescent="0.25">
      <c r="B1510" s="1"/>
      <c r="C1510" s="1"/>
      <c r="D1510" s="1"/>
      <c r="E1510" s="1"/>
      <c r="F1510" s="1"/>
      <c r="G1510" s="1"/>
      <c r="H1510" s="1"/>
      <c r="I1510" s="1"/>
      <c r="J1510" s="1"/>
      <c r="K1510" s="1"/>
      <c r="L1510" s="1"/>
      <c r="M1510" s="1"/>
      <c r="N1510" s="1"/>
      <c r="O1510" s="1"/>
    </row>
    <row r="1511" spans="2:15" x14ac:dyDescent="0.25">
      <c r="B1511" s="1"/>
      <c r="C1511" s="1"/>
      <c r="D1511" s="1"/>
      <c r="E1511" s="1"/>
      <c r="F1511" s="1"/>
      <c r="G1511" s="1"/>
      <c r="H1511" s="1"/>
      <c r="I1511" s="1"/>
      <c r="J1511" s="1"/>
      <c r="K1511" s="1"/>
      <c r="L1511" s="1"/>
      <c r="M1511" s="1"/>
      <c r="N1511" s="1"/>
      <c r="O1511" s="1"/>
    </row>
    <row r="1512" spans="2:15" x14ac:dyDescent="0.25">
      <c r="B1512" s="1"/>
      <c r="C1512" s="1"/>
      <c r="D1512" s="1"/>
      <c r="E1512" s="1"/>
      <c r="F1512" s="1"/>
      <c r="G1512" s="1"/>
      <c r="H1512" s="1"/>
      <c r="I1512" s="1"/>
      <c r="J1512" s="1"/>
      <c r="K1512" s="1"/>
      <c r="L1512" s="1"/>
      <c r="M1512" s="1"/>
      <c r="N1512" s="1"/>
      <c r="O1512" s="1"/>
    </row>
    <row r="1513" spans="2:15" x14ac:dyDescent="0.25">
      <c r="B1513" s="1"/>
      <c r="C1513" s="1"/>
      <c r="D1513" s="1"/>
      <c r="E1513" s="1"/>
      <c r="F1513" s="1"/>
      <c r="G1513" s="1"/>
      <c r="H1513" s="1"/>
      <c r="I1513" s="1"/>
      <c r="J1513" s="1"/>
      <c r="K1513" s="1"/>
      <c r="L1513" s="1"/>
      <c r="M1513" s="1"/>
      <c r="N1513" s="1"/>
      <c r="O1513" s="1"/>
    </row>
    <row r="1514" spans="2:15" x14ac:dyDescent="0.25">
      <c r="B1514" s="1"/>
      <c r="C1514" s="1"/>
      <c r="D1514" s="1"/>
      <c r="E1514" s="1"/>
      <c r="F1514" s="1"/>
      <c r="G1514" s="1"/>
      <c r="H1514" s="1"/>
      <c r="I1514" s="1"/>
      <c r="J1514" s="1"/>
      <c r="K1514" s="1"/>
      <c r="L1514" s="1"/>
      <c r="M1514" s="1"/>
      <c r="N1514" s="1"/>
      <c r="O1514" s="1"/>
    </row>
    <row r="1515" spans="2:15" x14ac:dyDescent="0.25">
      <c r="B1515" s="1"/>
      <c r="C1515" s="1"/>
      <c r="D1515" s="1"/>
      <c r="E1515" s="1"/>
      <c r="F1515" s="1"/>
      <c r="G1515" s="1"/>
      <c r="H1515" s="1"/>
      <c r="I1515" s="1"/>
      <c r="J1515" s="1"/>
      <c r="K1515" s="1"/>
      <c r="L1515" s="1"/>
      <c r="M1515" s="1"/>
      <c r="N1515" s="1"/>
      <c r="O1515" s="1"/>
    </row>
    <row r="1516" spans="2:15" x14ac:dyDescent="0.25">
      <c r="B1516" s="1"/>
      <c r="C1516" s="1"/>
      <c r="D1516" s="1"/>
      <c r="E1516" s="1"/>
      <c r="F1516" s="1"/>
      <c r="G1516" s="1"/>
      <c r="H1516" s="1"/>
      <c r="I1516" s="1"/>
      <c r="J1516" s="1"/>
      <c r="K1516" s="1"/>
      <c r="L1516" s="1"/>
      <c r="M1516" s="1"/>
      <c r="N1516" s="1"/>
      <c r="O1516" s="1"/>
    </row>
    <row r="1517" spans="2:15" x14ac:dyDescent="0.25">
      <c r="B1517" s="1"/>
      <c r="C1517" s="1"/>
      <c r="D1517" s="1"/>
      <c r="E1517" s="1"/>
      <c r="F1517" s="1"/>
      <c r="G1517" s="1"/>
      <c r="H1517" s="1"/>
      <c r="I1517" s="1"/>
      <c r="J1517" s="1"/>
      <c r="K1517" s="1"/>
      <c r="L1517" s="1"/>
      <c r="M1517" s="1"/>
      <c r="N1517" s="1"/>
      <c r="O1517" s="1"/>
    </row>
    <row r="1518" spans="2:15" x14ac:dyDescent="0.25">
      <c r="B1518" s="1"/>
      <c r="C1518" s="1"/>
      <c r="D1518" s="1"/>
      <c r="E1518" s="1"/>
      <c r="F1518" s="1"/>
      <c r="G1518" s="1"/>
      <c r="H1518" s="1"/>
      <c r="I1518" s="1"/>
      <c r="J1518" s="1"/>
      <c r="K1518" s="1"/>
      <c r="L1518" s="1"/>
      <c r="M1518" s="1"/>
      <c r="N1518" s="1"/>
      <c r="O1518" s="1"/>
    </row>
    <row r="1519" spans="2:15" x14ac:dyDescent="0.25">
      <c r="B1519" s="1"/>
      <c r="C1519" s="1"/>
      <c r="D1519" s="1"/>
      <c r="E1519" s="1"/>
      <c r="F1519" s="1"/>
      <c r="G1519" s="1"/>
      <c r="H1519" s="1"/>
      <c r="I1519" s="1"/>
      <c r="J1519" s="1"/>
      <c r="K1519" s="1"/>
      <c r="L1519" s="1"/>
      <c r="M1519" s="1"/>
      <c r="N1519" s="1"/>
      <c r="O1519" s="1"/>
    </row>
    <row r="1520" spans="2:15" x14ac:dyDescent="0.25">
      <c r="B1520" s="1"/>
      <c r="C1520" s="1"/>
      <c r="D1520" s="1"/>
      <c r="E1520" s="1"/>
      <c r="F1520" s="1"/>
      <c r="G1520" s="1"/>
      <c r="H1520" s="1"/>
      <c r="I1520" s="1"/>
      <c r="J1520" s="1"/>
      <c r="K1520" s="1"/>
      <c r="L1520" s="1"/>
      <c r="M1520" s="1"/>
      <c r="N1520" s="1"/>
      <c r="O1520" s="1"/>
    </row>
    <row r="1521" spans="2:15" x14ac:dyDescent="0.25">
      <c r="B1521" s="1"/>
      <c r="C1521" s="1"/>
      <c r="D1521" s="1"/>
      <c r="E1521" s="1"/>
      <c r="F1521" s="1"/>
      <c r="G1521" s="1"/>
      <c r="H1521" s="1"/>
      <c r="I1521" s="1"/>
      <c r="J1521" s="1"/>
      <c r="K1521" s="1"/>
      <c r="L1521" s="1"/>
      <c r="M1521" s="1"/>
      <c r="N1521" s="1"/>
      <c r="O1521" s="1"/>
    </row>
    <row r="1522" spans="2:15" x14ac:dyDescent="0.25">
      <c r="B1522" s="1"/>
      <c r="C1522" s="1"/>
      <c r="D1522" s="1"/>
      <c r="E1522" s="1"/>
      <c r="F1522" s="1"/>
      <c r="G1522" s="1"/>
      <c r="H1522" s="1"/>
      <c r="I1522" s="1"/>
      <c r="J1522" s="1"/>
      <c r="K1522" s="1"/>
      <c r="L1522" s="1"/>
      <c r="M1522" s="1"/>
      <c r="N1522" s="1"/>
      <c r="O1522" s="1"/>
    </row>
    <row r="1523" spans="2:15" x14ac:dyDescent="0.25">
      <c r="B1523" s="1"/>
      <c r="C1523" s="1"/>
      <c r="D1523" s="1"/>
      <c r="E1523" s="1"/>
      <c r="F1523" s="1"/>
      <c r="G1523" s="1"/>
      <c r="H1523" s="1"/>
      <c r="I1523" s="1"/>
      <c r="J1523" s="1"/>
      <c r="K1523" s="1"/>
      <c r="L1523" s="1"/>
      <c r="M1523" s="1"/>
      <c r="N1523" s="1"/>
      <c r="O1523" s="1"/>
    </row>
    <row r="1524" spans="2:15" x14ac:dyDescent="0.25">
      <c r="B1524" s="1"/>
      <c r="C1524" s="1"/>
      <c r="D1524" s="1"/>
      <c r="E1524" s="1"/>
      <c r="F1524" s="1"/>
      <c r="G1524" s="1"/>
      <c r="H1524" s="1"/>
      <c r="I1524" s="1"/>
      <c r="J1524" s="1"/>
      <c r="K1524" s="1"/>
      <c r="L1524" s="1"/>
      <c r="M1524" s="1"/>
      <c r="N1524" s="1"/>
      <c r="O1524" s="1"/>
    </row>
    <row r="1525" spans="2:15" x14ac:dyDescent="0.25">
      <c r="B1525" s="1"/>
      <c r="C1525" s="1"/>
      <c r="D1525" s="1"/>
      <c r="E1525" s="1"/>
      <c r="F1525" s="1"/>
      <c r="G1525" s="1"/>
      <c r="H1525" s="1"/>
      <c r="I1525" s="1"/>
      <c r="J1525" s="1"/>
      <c r="K1525" s="1"/>
      <c r="L1525" s="1"/>
      <c r="M1525" s="1"/>
      <c r="N1525" s="1"/>
      <c r="O1525" s="1"/>
    </row>
    <row r="1526" spans="2:15" x14ac:dyDescent="0.25">
      <c r="B1526" s="1"/>
      <c r="C1526" s="1"/>
      <c r="D1526" s="1"/>
      <c r="E1526" s="1"/>
      <c r="F1526" s="1"/>
      <c r="G1526" s="1"/>
      <c r="H1526" s="1"/>
      <c r="I1526" s="1"/>
      <c r="J1526" s="1"/>
      <c r="K1526" s="1"/>
      <c r="L1526" s="1"/>
      <c r="M1526" s="1"/>
      <c r="N1526" s="1"/>
      <c r="O1526" s="1"/>
    </row>
    <row r="1527" spans="2:15" x14ac:dyDescent="0.25">
      <c r="B1527" s="1"/>
      <c r="C1527" s="1"/>
      <c r="D1527" s="1"/>
      <c r="E1527" s="1"/>
      <c r="F1527" s="1"/>
      <c r="G1527" s="1"/>
      <c r="H1527" s="1"/>
      <c r="I1527" s="1"/>
      <c r="J1527" s="1"/>
      <c r="K1527" s="1"/>
      <c r="L1527" s="1"/>
      <c r="M1527" s="1"/>
      <c r="N1527" s="1"/>
      <c r="O1527" s="1"/>
    </row>
    <row r="1528" spans="2:15" x14ac:dyDescent="0.25">
      <c r="B1528" s="1"/>
      <c r="C1528" s="1"/>
      <c r="D1528" s="1"/>
      <c r="E1528" s="1"/>
      <c r="F1528" s="1"/>
      <c r="G1528" s="1"/>
      <c r="H1528" s="1"/>
      <c r="I1528" s="1"/>
      <c r="J1528" s="1"/>
      <c r="K1528" s="1"/>
      <c r="L1528" s="1"/>
      <c r="M1528" s="1"/>
      <c r="N1528" s="1"/>
      <c r="O1528" s="1"/>
    </row>
    <row r="1529" spans="2:15" x14ac:dyDescent="0.25">
      <c r="B1529" s="1"/>
      <c r="C1529" s="1"/>
      <c r="D1529" s="1"/>
      <c r="E1529" s="1"/>
      <c r="F1529" s="1"/>
      <c r="G1529" s="1"/>
      <c r="H1529" s="1"/>
      <c r="I1529" s="1"/>
      <c r="J1529" s="1"/>
      <c r="K1529" s="1"/>
      <c r="L1529" s="1"/>
      <c r="M1529" s="1"/>
      <c r="N1529" s="1"/>
      <c r="O1529" s="1"/>
    </row>
    <row r="1530" spans="2:15" x14ac:dyDescent="0.25">
      <c r="B1530" s="1"/>
      <c r="C1530" s="1"/>
      <c r="D1530" s="1"/>
      <c r="E1530" s="1"/>
      <c r="F1530" s="1"/>
      <c r="G1530" s="1"/>
      <c r="H1530" s="1"/>
      <c r="I1530" s="1"/>
      <c r="J1530" s="1"/>
      <c r="K1530" s="1"/>
      <c r="L1530" s="1"/>
      <c r="M1530" s="1"/>
      <c r="N1530" s="1"/>
      <c r="O1530" s="1"/>
    </row>
    <row r="1531" spans="2:15" x14ac:dyDescent="0.25">
      <c r="B1531" s="1"/>
      <c r="C1531" s="1"/>
      <c r="D1531" s="1"/>
      <c r="E1531" s="1"/>
      <c r="F1531" s="1"/>
      <c r="G1531" s="1"/>
      <c r="H1531" s="1"/>
      <c r="I1531" s="1"/>
      <c r="J1531" s="1"/>
      <c r="K1531" s="1"/>
      <c r="L1531" s="1"/>
      <c r="M1531" s="1"/>
      <c r="N1531" s="1"/>
      <c r="O1531" s="1"/>
    </row>
    <row r="1532" spans="2:15" x14ac:dyDescent="0.25">
      <c r="B1532" s="1"/>
      <c r="C1532" s="1"/>
      <c r="D1532" s="1"/>
      <c r="E1532" s="1"/>
      <c r="F1532" s="1"/>
      <c r="G1532" s="1"/>
      <c r="H1532" s="1"/>
      <c r="I1532" s="1"/>
      <c r="J1532" s="1"/>
      <c r="K1532" s="1"/>
      <c r="L1532" s="1"/>
      <c r="M1532" s="1"/>
      <c r="N1532" s="1"/>
      <c r="O1532" s="1"/>
    </row>
    <row r="1533" spans="2:15" x14ac:dyDescent="0.25">
      <c r="B1533" s="1"/>
      <c r="C1533" s="1"/>
      <c r="D1533" s="1"/>
      <c r="E1533" s="1"/>
      <c r="F1533" s="1"/>
      <c r="G1533" s="1"/>
      <c r="H1533" s="1"/>
      <c r="I1533" s="1"/>
      <c r="J1533" s="1"/>
      <c r="K1533" s="1"/>
      <c r="L1533" s="1"/>
      <c r="M1533" s="1"/>
      <c r="N1533" s="1"/>
      <c r="O1533" s="1"/>
    </row>
    <row r="1534" spans="2:15" x14ac:dyDescent="0.25">
      <c r="B1534" s="1"/>
      <c r="C1534" s="1"/>
      <c r="D1534" s="1"/>
      <c r="E1534" s="1"/>
      <c r="F1534" s="1"/>
      <c r="G1534" s="1"/>
      <c r="H1534" s="1"/>
      <c r="I1534" s="1"/>
      <c r="J1534" s="1"/>
      <c r="K1534" s="1"/>
      <c r="L1534" s="1"/>
      <c r="M1534" s="1"/>
      <c r="N1534" s="1"/>
      <c r="O1534" s="1"/>
    </row>
    <row r="1535" spans="2:15" x14ac:dyDescent="0.25">
      <c r="B1535" s="1"/>
      <c r="C1535" s="1"/>
      <c r="D1535" s="1"/>
      <c r="E1535" s="1"/>
      <c r="F1535" s="1"/>
      <c r="G1535" s="1"/>
      <c r="H1535" s="1"/>
      <c r="I1535" s="1"/>
      <c r="J1535" s="1"/>
      <c r="K1535" s="1"/>
      <c r="L1535" s="1"/>
      <c r="M1535" s="1"/>
      <c r="N1535" s="1"/>
      <c r="O1535" s="1"/>
    </row>
    <row r="1536" spans="2:15" x14ac:dyDescent="0.25">
      <c r="B1536" s="1"/>
      <c r="C1536" s="1"/>
      <c r="D1536" s="1"/>
      <c r="E1536" s="1"/>
      <c r="F1536" s="1"/>
      <c r="G1536" s="1"/>
      <c r="H1536" s="1"/>
      <c r="I1536" s="1"/>
      <c r="J1536" s="1"/>
      <c r="K1536" s="1"/>
      <c r="L1536" s="1"/>
      <c r="M1536" s="1"/>
      <c r="N1536" s="1"/>
      <c r="O1536" s="1"/>
    </row>
    <row r="1537" spans="2:15" x14ac:dyDescent="0.25">
      <c r="B1537" s="1"/>
      <c r="C1537" s="1"/>
      <c r="D1537" s="1"/>
      <c r="E1537" s="1"/>
      <c r="F1537" s="1"/>
      <c r="G1537" s="1"/>
      <c r="H1537" s="1"/>
      <c r="I1537" s="1"/>
      <c r="J1537" s="1"/>
      <c r="K1537" s="1"/>
      <c r="L1537" s="1"/>
      <c r="M1537" s="1"/>
      <c r="N1537" s="1"/>
      <c r="O1537" s="1"/>
    </row>
    <row r="1538" spans="2:15" x14ac:dyDescent="0.25">
      <c r="B1538" s="1"/>
      <c r="C1538" s="1"/>
      <c r="D1538" s="1"/>
      <c r="E1538" s="1"/>
      <c r="F1538" s="1"/>
      <c r="G1538" s="1"/>
      <c r="H1538" s="1"/>
      <c r="I1538" s="1"/>
      <c r="J1538" s="1"/>
      <c r="K1538" s="1"/>
      <c r="L1538" s="1"/>
      <c r="M1538" s="1"/>
      <c r="N1538" s="1"/>
      <c r="O1538" s="1"/>
    </row>
    <row r="1539" spans="2:15" x14ac:dyDescent="0.25">
      <c r="B1539" s="1"/>
      <c r="C1539" s="1"/>
      <c r="D1539" s="1"/>
      <c r="E1539" s="1"/>
      <c r="F1539" s="1"/>
      <c r="G1539" s="1"/>
      <c r="H1539" s="1"/>
      <c r="I1539" s="1"/>
      <c r="J1539" s="1"/>
      <c r="K1539" s="1"/>
      <c r="L1539" s="1"/>
      <c r="M1539" s="1"/>
      <c r="N1539" s="1"/>
      <c r="O1539" s="1"/>
    </row>
    <row r="1540" spans="2:15" x14ac:dyDescent="0.25">
      <c r="B1540" s="1"/>
      <c r="C1540" s="1"/>
      <c r="D1540" s="1"/>
      <c r="E1540" s="1"/>
      <c r="F1540" s="1"/>
      <c r="G1540" s="1"/>
      <c r="H1540" s="1"/>
      <c r="I1540" s="1"/>
      <c r="J1540" s="1"/>
      <c r="K1540" s="1"/>
      <c r="L1540" s="1"/>
      <c r="M1540" s="1"/>
      <c r="N1540" s="1"/>
      <c r="O1540" s="1"/>
    </row>
    <row r="1541" spans="2:15" x14ac:dyDescent="0.25">
      <c r="B1541" s="1"/>
      <c r="C1541" s="1"/>
      <c r="D1541" s="1"/>
      <c r="E1541" s="1"/>
      <c r="F1541" s="1"/>
      <c r="G1541" s="1"/>
      <c r="H1541" s="1"/>
      <c r="I1541" s="1"/>
      <c r="J1541" s="1"/>
      <c r="K1541" s="1"/>
      <c r="L1541" s="1"/>
      <c r="M1541" s="1"/>
      <c r="N1541" s="1"/>
      <c r="O1541" s="1"/>
    </row>
    <row r="1542" spans="2:15" x14ac:dyDescent="0.25">
      <c r="B1542" s="1"/>
      <c r="C1542" s="1"/>
      <c r="D1542" s="1"/>
      <c r="E1542" s="1"/>
      <c r="F1542" s="1"/>
      <c r="G1542" s="1"/>
      <c r="H1542" s="1"/>
      <c r="I1542" s="1"/>
      <c r="J1542" s="1"/>
      <c r="K1542" s="1"/>
      <c r="L1542" s="1"/>
      <c r="M1542" s="1"/>
      <c r="N1542" s="1"/>
      <c r="O1542" s="1"/>
    </row>
    <row r="1543" spans="2:15" x14ac:dyDescent="0.25">
      <c r="B1543" s="1"/>
      <c r="C1543" s="1"/>
      <c r="D1543" s="1"/>
      <c r="E1543" s="1"/>
      <c r="F1543" s="1"/>
      <c r="G1543" s="1"/>
      <c r="H1543" s="1"/>
      <c r="I1543" s="1"/>
      <c r="J1543" s="1"/>
      <c r="K1543" s="1"/>
      <c r="L1543" s="1"/>
      <c r="M1543" s="1"/>
      <c r="N1543" s="1"/>
      <c r="O1543" s="1"/>
    </row>
    <row r="1544" spans="2:15" x14ac:dyDescent="0.25">
      <c r="B1544" s="1"/>
      <c r="C1544" s="1"/>
      <c r="D1544" s="1"/>
      <c r="E1544" s="1"/>
      <c r="F1544" s="1"/>
      <c r="G1544" s="1"/>
      <c r="H1544" s="1"/>
      <c r="I1544" s="1"/>
      <c r="J1544" s="1"/>
      <c r="K1544" s="1"/>
      <c r="L1544" s="1"/>
      <c r="M1544" s="1"/>
      <c r="N1544" s="1"/>
      <c r="O1544" s="1"/>
    </row>
    <row r="1545" spans="2:15" x14ac:dyDescent="0.25">
      <c r="B1545" s="1"/>
      <c r="C1545" s="1"/>
      <c r="D1545" s="1"/>
      <c r="E1545" s="1"/>
      <c r="F1545" s="1"/>
      <c r="G1545" s="1"/>
      <c r="H1545" s="1"/>
      <c r="I1545" s="1"/>
      <c r="J1545" s="1"/>
      <c r="K1545" s="1"/>
      <c r="L1545" s="1"/>
      <c r="M1545" s="1"/>
      <c r="N1545" s="1"/>
      <c r="O1545" s="1"/>
    </row>
    <row r="1546" spans="2:15" x14ac:dyDescent="0.25">
      <c r="B1546" s="1"/>
      <c r="C1546" s="1"/>
      <c r="D1546" s="1"/>
      <c r="E1546" s="1"/>
      <c r="F1546" s="1"/>
      <c r="G1546" s="1"/>
      <c r="H1546" s="1"/>
      <c r="I1546" s="1"/>
      <c r="J1546" s="1"/>
      <c r="K1546" s="1"/>
      <c r="L1546" s="1"/>
      <c r="M1546" s="1"/>
      <c r="N1546" s="1"/>
      <c r="O1546" s="1"/>
    </row>
    <row r="1547" spans="2:15" x14ac:dyDescent="0.25">
      <c r="B1547" s="1"/>
      <c r="C1547" s="1"/>
      <c r="D1547" s="1"/>
      <c r="E1547" s="1"/>
      <c r="F1547" s="1"/>
      <c r="G1547" s="1"/>
      <c r="H1547" s="1"/>
      <c r="I1547" s="1"/>
      <c r="J1547" s="1"/>
      <c r="K1547" s="1"/>
      <c r="L1547" s="1"/>
      <c r="M1547" s="1"/>
      <c r="N1547" s="1"/>
      <c r="O1547" s="1"/>
    </row>
    <row r="1548" spans="2:15" x14ac:dyDescent="0.25">
      <c r="B1548" s="1"/>
      <c r="C1548" s="1"/>
      <c r="D1548" s="1"/>
      <c r="E1548" s="1"/>
      <c r="F1548" s="1"/>
      <c r="G1548" s="1"/>
      <c r="H1548" s="1"/>
      <c r="I1548" s="1"/>
      <c r="J1548" s="1"/>
      <c r="K1548" s="1"/>
      <c r="L1548" s="1"/>
      <c r="M1548" s="1"/>
      <c r="N1548" s="1"/>
      <c r="O1548" s="1"/>
    </row>
    <row r="1549" spans="2:15" x14ac:dyDescent="0.25">
      <c r="B1549" s="1"/>
      <c r="C1549" s="1"/>
      <c r="D1549" s="1"/>
      <c r="E1549" s="1"/>
      <c r="F1549" s="1"/>
      <c r="G1549" s="1"/>
      <c r="H1549" s="1"/>
      <c r="I1549" s="1"/>
      <c r="J1549" s="1"/>
      <c r="K1549" s="1"/>
      <c r="L1549" s="1"/>
      <c r="M1549" s="1"/>
      <c r="N1549" s="1"/>
      <c r="O1549" s="1"/>
    </row>
    <row r="1550" spans="2:15" x14ac:dyDescent="0.25">
      <c r="B1550" s="1"/>
      <c r="C1550" s="1"/>
      <c r="D1550" s="1"/>
      <c r="E1550" s="1"/>
      <c r="F1550" s="1"/>
      <c r="G1550" s="1"/>
      <c r="H1550" s="1"/>
      <c r="I1550" s="1"/>
      <c r="J1550" s="1"/>
      <c r="K1550" s="1"/>
      <c r="L1550" s="1"/>
      <c r="M1550" s="1"/>
      <c r="N1550" s="1"/>
      <c r="O1550" s="1"/>
    </row>
    <row r="1551" spans="2:15" x14ac:dyDescent="0.25">
      <c r="B1551" s="1"/>
      <c r="C1551" s="1"/>
      <c r="D1551" s="1"/>
      <c r="E1551" s="1"/>
      <c r="F1551" s="1"/>
      <c r="G1551" s="1"/>
      <c r="H1551" s="1"/>
      <c r="I1551" s="1"/>
      <c r="J1551" s="1"/>
      <c r="K1551" s="1"/>
      <c r="L1551" s="1"/>
      <c r="M1551" s="1"/>
      <c r="N1551" s="1"/>
      <c r="O1551" s="1"/>
    </row>
    <row r="1552" spans="2:15" x14ac:dyDescent="0.25">
      <c r="B1552" s="1"/>
      <c r="C1552" s="1"/>
      <c r="D1552" s="1"/>
      <c r="E1552" s="1"/>
      <c r="F1552" s="1"/>
      <c r="G1552" s="1"/>
      <c r="H1552" s="1"/>
      <c r="I1552" s="1"/>
      <c r="J1552" s="1"/>
      <c r="K1552" s="1"/>
      <c r="L1552" s="1"/>
      <c r="M1552" s="1"/>
      <c r="N1552" s="1"/>
      <c r="O1552" s="1"/>
    </row>
    <row r="1553" spans="2:15" x14ac:dyDescent="0.25">
      <c r="B1553" s="1"/>
      <c r="C1553" s="1"/>
      <c r="D1553" s="1"/>
      <c r="E1553" s="1"/>
      <c r="F1553" s="1"/>
      <c r="G1553" s="1"/>
      <c r="H1553" s="1"/>
      <c r="I1553" s="1"/>
      <c r="J1553" s="1"/>
      <c r="K1553" s="1"/>
      <c r="L1553" s="1"/>
      <c r="M1553" s="1"/>
      <c r="N1553" s="1"/>
      <c r="O1553" s="1"/>
    </row>
    <row r="1554" spans="2:15" x14ac:dyDescent="0.25">
      <c r="B1554" s="1"/>
      <c r="C1554" s="1"/>
      <c r="D1554" s="1"/>
      <c r="E1554" s="1"/>
      <c r="F1554" s="1"/>
      <c r="G1554" s="1"/>
      <c r="H1554" s="1"/>
      <c r="I1554" s="1"/>
      <c r="J1554" s="1"/>
      <c r="K1554" s="1"/>
      <c r="L1554" s="1"/>
      <c r="M1554" s="1"/>
      <c r="N1554" s="1"/>
      <c r="O1554" s="1"/>
    </row>
    <row r="1555" spans="2:15" x14ac:dyDescent="0.25">
      <c r="B1555" s="1"/>
      <c r="C1555" s="1"/>
      <c r="D1555" s="1"/>
      <c r="E1555" s="1"/>
      <c r="F1555" s="1"/>
      <c r="G1555" s="1"/>
      <c r="H1555" s="1"/>
      <c r="I1555" s="1"/>
      <c r="J1555" s="1"/>
      <c r="K1555" s="1"/>
      <c r="L1555" s="1"/>
      <c r="M1555" s="1"/>
      <c r="N1555" s="1"/>
      <c r="O1555" s="1"/>
    </row>
    <row r="1556" spans="2:15" x14ac:dyDescent="0.25">
      <c r="B1556" s="1"/>
      <c r="C1556" s="1"/>
      <c r="D1556" s="1"/>
      <c r="E1556" s="1"/>
      <c r="F1556" s="1"/>
      <c r="G1556" s="1"/>
      <c r="H1556" s="1"/>
      <c r="I1556" s="1"/>
      <c r="J1556" s="1"/>
      <c r="K1556" s="1"/>
      <c r="L1556" s="1"/>
      <c r="M1556" s="1"/>
      <c r="N1556" s="1"/>
      <c r="O1556" s="1"/>
    </row>
    <row r="1557" spans="2:15" x14ac:dyDescent="0.25">
      <c r="B1557" s="1"/>
      <c r="C1557" s="1"/>
      <c r="D1557" s="1"/>
      <c r="E1557" s="1"/>
      <c r="F1557" s="1"/>
      <c r="G1557" s="1"/>
      <c r="H1557" s="1"/>
      <c r="I1557" s="1"/>
      <c r="J1557" s="1"/>
      <c r="K1557" s="1"/>
      <c r="L1557" s="1"/>
      <c r="M1557" s="1"/>
      <c r="N1557" s="1"/>
      <c r="O1557" s="1"/>
    </row>
    <row r="1558" spans="2:15" x14ac:dyDescent="0.25">
      <c r="B1558" s="1"/>
      <c r="C1558" s="1"/>
      <c r="D1558" s="1"/>
      <c r="E1558" s="1"/>
      <c r="F1558" s="1"/>
      <c r="G1558" s="1"/>
      <c r="H1558" s="1"/>
      <c r="I1558" s="1"/>
      <c r="J1558" s="1"/>
      <c r="K1558" s="1"/>
      <c r="L1558" s="1"/>
      <c r="M1558" s="1"/>
      <c r="N1558" s="1"/>
      <c r="O1558" s="1"/>
    </row>
    <row r="1559" spans="2:15" x14ac:dyDescent="0.25">
      <c r="B1559" s="1"/>
      <c r="C1559" s="1"/>
      <c r="D1559" s="1"/>
      <c r="E1559" s="1"/>
      <c r="F1559" s="1"/>
      <c r="G1559" s="1"/>
      <c r="H1559" s="1"/>
      <c r="I1559" s="1"/>
      <c r="J1559" s="1"/>
      <c r="K1559" s="1"/>
      <c r="L1559" s="1"/>
      <c r="M1559" s="1"/>
      <c r="N1559" s="1"/>
      <c r="O1559" s="1"/>
    </row>
    <row r="1560" spans="2:15" x14ac:dyDescent="0.25">
      <c r="B1560" s="1"/>
      <c r="C1560" s="1"/>
      <c r="D1560" s="1"/>
      <c r="E1560" s="1"/>
      <c r="F1560" s="1"/>
      <c r="G1560" s="1"/>
      <c r="H1560" s="1"/>
      <c r="I1560" s="1"/>
      <c r="J1560" s="1"/>
      <c r="K1560" s="1"/>
      <c r="L1560" s="1"/>
      <c r="M1560" s="1"/>
      <c r="N1560" s="1"/>
      <c r="O1560" s="1"/>
    </row>
    <row r="1561" spans="2:15" x14ac:dyDescent="0.25">
      <c r="B1561" s="1"/>
      <c r="C1561" s="1"/>
      <c r="D1561" s="1"/>
      <c r="E1561" s="1"/>
      <c r="F1561" s="1"/>
      <c r="G1561" s="1"/>
      <c r="H1561" s="1"/>
      <c r="I1561" s="1"/>
      <c r="J1561" s="1"/>
      <c r="K1561" s="1"/>
      <c r="L1561" s="1"/>
      <c r="M1561" s="1"/>
      <c r="N1561" s="1"/>
      <c r="O1561" s="1"/>
    </row>
    <row r="1562" spans="2:15" x14ac:dyDescent="0.25">
      <c r="B1562" s="1"/>
      <c r="C1562" s="1"/>
      <c r="D1562" s="1"/>
      <c r="E1562" s="1"/>
      <c r="F1562" s="1"/>
      <c r="G1562" s="1"/>
      <c r="H1562" s="1"/>
      <c r="I1562" s="1"/>
      <c r="J1562" s="1"/>
      <c r="K1562" s="1"/>
      <c r="L1562" s="1"/>
      <c r="M1562" s="1"/>
      <c r="N1562" s="1"/>
      <c r="O1562" s="1"/>
    </row>
    <row r="1563" spans="2:15" x14ac:dyDescent="0.25">
      <c r="B1563" s="1"/>
      <c r="C1563" s="1"/>
      <c r="D1563" s="1"/>
      <c r="E1563" s="1"/>
      <c r="F1563" s="1"/>
      <c r="G1563" s="1"/>
      <c r="H1563" s="1"/>
      <c r="I1563" s="1"/>
      <c r="J1563" s="1"/>
      <c r="K1563" s="1"/>
      <c r="L1563" s="1"/>
      <c r="M1563" s="1"/>
      <c r="N1563" s="1"/>
      <c r="O1563" s="1"/>
    </row>
    <row r="1564" spans="2:15" x14ac:dyDescent="0.25">
      <c r="B1564" s="1"/>
      <c r="C1564" s="1"/>
      <c r="D1564" s="1"/>
      <c r="E1564" s="1"/>
      <c r="F1564" s="1"/>
      <c r="G1564" s="1"/>
      <c r="H1564" s="1"/>
      <c r="I1564" s="1"/>
      <c r="J1564" s="1"/>
      <c r="K1564" s="1"/>
      <c r="L1564" s="1"/>
      <c r="M1564" s="1"/>
      <c r="N1564" s="1"/>
      <c r="O1564" s="1"/>
    </row>
    <row r="1565" spans="2:15" x14ac:dyDescent="0.25">
      <c r="B1565" s="1"/>
      <c r="C1565" s="1"/>
      <c r="D1565" s="1"/>
      <c r="E1565" s="1"/>
      <c r="F1565" s="1"/>
      <c r="G1565" s="1"/>
      <c r="H1565" s="1"/>
      <c r="I1565" s="1"/>
      <c r="J1565" s="1"/>
      <c r="K1565" s="1"/>
      <c r="L1565" s="1"/>
      <c r="M1565" s="1"/>
      <c r="N1565" s="1"/>
      <c r="O1565" s="1"/>
    </row>
    <row r="1566" spans="2:15" x14ac:dyDescent="0.25">
      <c r="B1566" s="1"/>
      <c r="C1566" s="1"/>
      <c r="D1566" s="1"/>
      <c r="E1566" s="1"/>
      <c r="F1566" s="1"/>
      <c r="G1566" s="1"/>
      <c r="H1566" s="1"/>
      <c r="I1566" s="1"/>
      <c r="J1566" s="1"/>
      <c r="K1566" s="1"/>
      <c r="L1566" s="1"/>
      <c r="M1566" s="1"/>
      <c r="N1566" s="1"/>
      <c r="O1566" s="1"/>
    </row>
    <row r="1567" spans="2:15" x14ac:dyDescent="0.25">
      <c r="B1567" s="1"/>
      <c r="C1567" s="1"/>
      <c r="D1567" s="1"/>
      <c r="E1567" s="1"/>
      <c r="F1567" s="1"/>
      <c r="G1567" s="1"/>
      <c r="H1567" s="1"/>
      <c r="I1567" s="1"/>
      <c r="J1567" s="1"/>
      <c r="K1567" s="1"/>
      <c r="L1567" s="1"/>
      <c r="M1567" s="1"/>
      <c r="N1567" s="1"/>
      <c r="O1567" s="1"/>
    </row>
    <row r="1568" spans="2:15" x14ac:dyDescent="0.25">
      <c r="B1568" s="1"/>
      <c r="C1568" s="1"/>
      <c r="D1568" s="1"/>
      <c r="E1568" s="1"/>
      <c r="F1568" s="1"/>
      <c r="G1568" s="1"/>
      <c r="H1568" s="1"/>
      <c r="I1568" s="1"/>
      <c r="J1568" s="1"/>
      <c r="K1568" s="1"/>
      <c r="L1568" s="1"/>
      <c r="M1568" s="1"/>
      <c r="N1568" s="1"/>
      <c r="O1568" s="1"/>
    </row>
    <row r="1569" spans="2:15" x14ac:dyDescent="0.25">
      <c r="B1569" s="1"/>
      <c r="C1569" s="1"/>
      <c r="D1569" s="1"/>
      <c r="E1569" s="1"/>
      <c r="F1569" s="1"/>
      <c r="G1569" s="1"/>
      <c r="H1569" s="1"/>
      <c r="I1569" s="1"/>
      <c r="J1569" s="1"/>
      <c r="K1569" s="1"/>
      <c r="L1569" s="1"/>
      <c r="M1569" s="1"/>
      <c r="N1569" s="1"/>
      <c r="O1569" s="1"/>
    </row>
    <row r="1570" spans="2:15" x14ac:dyDescent="0.25">
      <c r="B1570" s="1"/>
      <c r="C1570" s="1"/>
      <c r="D1570" s="1"/>
      <c r="E1570" s="1"/>
      <c r="F1570" s="1"/>
      <c r="G1570" s="1"/>
      <c r="H1570" s="1"/>
      <c r="I1570" s="1"/>
      <c r="J1570" s="1"/>
      <c r="K1570" s="1"/>
      <c r="L1570" s="1"/>
      <c r="M1570" s="1"/>
      <c r="N1570" s="1"/>
      <c r="O1570" s="1"/>
    </row>
    <row r="1571" spans="2:15" x14ac:dyDescent="0.25">
      <c r="B1571" s="1"/>
      <c r="C1571" s="1"/>
      <c r="D1571" s="1"/>
      <c r="E1571" s="1"/>
      <c r="F1571" s="1"/>
      <c r="G1571" s="1"/>
      <c r="H1571" s="1"/>
      <c r="I1571" s="1"/>
      <c r="J1571" s="1"/>
      <c r="K1571" s="1"/>
      <c r="L1571" s="1"/>
      <c r="M1571" s="1"/>
      <c r="N1571" s="1"/>
      <c r="O1571" s="1"/>
    </row>
    <row r="1572" spans="2:15" x14ac:dyDescent="0.25">
      <c r="B1572" s="1"/>
      <c r="C1572" s="1"/>
      <c r="D1572" s="1"/>
      <c r="E1572" s="1"/>
      <c r="F1572" s="1"/>
      <c r="G1572" s="1"/>
      <c r="H1572" s="1"/>
      <c r="I1572" s="1"/>
      <c r="J1572" s="1"/>
      <c r="K1572" s="1"/>
      <c r="L1572" s="1"/>
      <c r="M1572" s="1"/>
      <c r="N1572" s="1"/>
      <c r="O1572" s="1"/>
    </row>
    <row r="1573" spans="2:15" x14ac:dyDescent="0.25">
      <c r="B1573" s="1"/>
      <c r="C1573" s="1"/>
      <c r="D1573" s="1"/>
      <c r="E1573" s="1"/>
      <c r="F1573" s="1"/>
      <c r="G1573" s="1"/>
      <c r="H1573" s="1"/>
      <c r="I1573" s="1"/>
      <c r="J1573" s="1"/>
      <c r="K1573" s="1"/>
      <c r="L1573" s="1"/>
      <c r="M1573" s="1"/>
      <c r="N1573" s="1"/>
      <c r="O1573" s="1"/>
    </row>
    <row r="1574" spans="2:15" x14ac:dyDescent="0.25">
      <c r="B1574" s="1"/>
      <c r="C1574" s="1"/>
      <c r="D1574" s="1"/>
      <c r="E1574" s="1"/>
      <c r="F1574" s="1"/>
      <c r="G1574" s="1"/>
      <c r="H1574" s="1"/>
      <c r="I1574" s="1"/>
      <c r="J1574" s="1"/>
      <c r="K1574" s="1"/>
      <c r="L1574" s="1"/>
      <c r="M1574" s="1"/>
      <c r="N1574" s="1"/>
      <c r="O1574" s="1"/>
    </row>
    <row r="1575" spans="2:15" x14ac:dyDescent="0.25">
      <c r="B1575" s="1"/>
      <c r="C1575" s="1"/>
      <c r="D1575" s="1"/>
      <c r="E1575" s="1"/>
      <c r="F1575" s="1"/>
      <c r="G1575" s="1"/>
      <c r="H1575" s="1"/>
      <c r="I1575" s="1"/>
      <c r="J1575" s="1"/>
      <c r="K1575" s="1"/>
      <c r="L1575" s="1"/>
      <c r="M1575" s="1"/>
      <c r="N1575" s="1"/>
      <c r="O1575" s="1"/>
    </row>
    <row r="1576" spans="2:15" x14ac:dyDescent="0.25">
      <c r="B1576" s="1"/>
      <c r="C1576" s="1"/>
      <c r="D1576" s="1"/>
      <c r="E1576" s="1"/>
      <c r="F1576" s="1"/>
      <c r="G1576" s="1"/>
      <c r="H1576" s="1"/>
      <c r="I1576" s="1"/>
      <c r="J1576" s="1"/>
      <c r="K1576" s="1"/>
      <c r="L1576" s="1"/>
      <c r="M1576" s="1"/>
      <c r="N1576" s="1"/>
      <c r="O1576" s="1"/>
    </row>
    <row r="1577" spans="2:15" x14ac:dyDescent="0.25">
      <c r="B1577" s="1"/>
      <c r="C1577" s="1"/>
      <c r="D1577" s="1"/>
      <c r="E1577" s="1"/>
      <c r="F1577" s="1"/>
      <c r="G1577" s="1"/>
      <c r="H1577" s="1"/>
      <c r="I1577" s="1"/>
      <c r="J1577" s="1"/>
      <c r="K1577" s="1"/>
      <c r="L1577" s="1"/>
      <c r="M1577" s="1"/>
      <c r="N1577" s="1"/>
      <c r="O1577" s="1"/>
    </row>
    <row r="1578" spans="2:15" x14ac:dyDescent="0.25">
      <c r="B1578" s="1"/>
      <c r="C1578" s="1"/>
      <c r="D1578" s="1"/>
      <c r="E1578" s="1"/>
      <c r="F1578" s="1"/>
      <c r="G1578" s="1"/>
      <c r="H1578" s="1"/>
      <c r="I1578" s="1"/>
      <c r="J1578" s="1"/>
      <c r="K1578" s="1"/>
      <c r="L1578" s="1"/>
      <c r="M1578" s="1"/>
      <c r="N1578" s="1"/>
      <c r="O1578" s="1"/>
    </row>
    <row r="1579" spans="2:15" x14ac:dyDescent="0.25">
      <c r="B1579" s="1"/>
      <c r="C1579" s="1"/>
      <c r="D1579" s="1"/>
      <c r="E1579" s="1"/>
      <c r="F1579" s="1"/>
      <c r="G1579" s="1"/>
      <c r="H1579" s="1"/>
      <c r="I1579" s="1"/>
      <c r="J1579" s="1"/>
      <c r="K1579" s="1"/>
      <c r="L1579" s="1"/>
      <c r="M1579" s="1"/>
      <c r="N1579" s="1"/>
      <c r="O1579" s="1"/>
    </row>
    <row r="1580" spans="2:15" x14ac:dyDescent="0.25">
      <c r="B1580" s="1"/>
      <c r="C1580" s="1"/>
      <c r="D1580" s="1"/>
      <c r="E1580" s="1"/>
      <c r="F1580" s="1"/>
      <c r="G1580" s="1"/>
      <c r="H1580" s="1"/>
      <c r="I1580" s="1"/>
      <c r="J1580" s="1"/>
      <c r="K1580" s="1"/>
      <c r="L1580" s="1"/>
      <c r="M1580" s="1"/>
      <c r="N1580" s="1"/>
      <c r="O1580" s="1"/>
    </row>
    <row r="1581" spans="2:15" x14ac:dyDescent="0.25">
      <c r="B1581" s="1"/>
      <c r="C1581" s="1"/>
      <c r="D1581" s="1"/>
      <c r="E1581" s="1"/>
      <c r="F1581" s="1"/>
      <c r="G1581" s="1"/>
      <c r="H1581" s="1"/>
      <c r="I1581" s="1"/>
      <c r="J1581" s="1"/>
      <c r="K1581" s="1"/>
      <c r="L1581" s="1"/>
      <c r="M1581" s="1"/>
      <c r="N1581" s="1"/>
      <c r="O1581" s="1"/>
    </row>
    <row r="1582" spans="2:15" x14ac:dyDescent="0.25">
      <c r="B1582" s="1"/>
      <c r="C1582" s="1"/>
      <c r="D1582" s="1"/>
      <c r="E1582" s="1"/>
      <c r="F1582" s="1"/>
      <c r="G1582" s="1"/>
      <c r="H1582" s="1"/>
      <c r="I1582" s="1"/>
      <c r="J1582" s="1"/>
      <c r="K1582" s="1"/>
      <c r="L1582" s="1"/>
      <c r="M1582" s="1"/>
      <c r="N1582" s="1"/>
      <c r="O1582" s="1"/>
    </row>
    <row r="1583" spans="2:15" x14ac:dyDescent="0.25">
      <c r="B1583" s="1"/>
      <c r="C1583" s="1"/>
      <c r="D1583" s="1"/>
      <c r="E1583" s="1"/>
      <c r="F1583" s="1"/>
      <c r="G1583" s="1"/>
      <c r="H1583" s="1"/>
      <c r="I1583" s="1"/>
      <c r="J1583" s="1"/>
      <c r="K1583" s="1"/>
      <c r="L1583" s="1"/>
      <c r="M1583" s="1"/>
      <c r="N1583" s="1"/>
      <c r="O1583" s="1"/>
    </row>
    <row r="1584" spans="2:15" x14ac:dyDescent="0.25">
      <c r="B1584" s="1"/>
      <c r="C1584" s="1"/>
      <c r="D1584" s="1"/>
      <c r="E1584" s="1"/>
      <c r="F1584" s="1"/>
      <c r="G1584" s="1"/>
      <c r="H1584" s="1"/>
      <c r="I1584" s="1"/>
      <c r="J1584" s="1"/>
      <c r="K1584" s="1"/>
      <c r="L1584" s="1"/>
      <c r="M1584" s="1"/>
      <c r="N1584" s="1"/>
      <c r="O1584" s="1"/>
    </row>
    <row r="1585" spans="2:15" x14ac:dyDescent="0.25">
      <c r="B1585" s="1"/>
      <c r="C1585" s="1"/>
      <c r="D1585" s="1"/>
      <c r="E1585" s="1"/>
      <c r="F1585" s="1"/>
      <c r="G1585" s="1"/>
      <c r="H1585" s="1"/>
      <c r="I1585" s="1"/>
      <c r="J1585" s="1"/>
      <c r="K1585" s="1"/>
      <c r="L1585" s="1"/>
      <c r="M1585" s="1"/>
      <c r="N1585" s="1"/>
      <c r="O1585" s="1"/>
    </row>
    <row r="1586" spans="2:15" x14ac:dyDescent="0.25">
      <c r="B1586" s="1"/>
      <c r="C1586" s="1"/>
      <c r="D1586" s="1"/>
      <c r="E1586" s="1"/>
      <c r="F1586" s="1"/>
      <c r="G1586" s="1"/>
      <c r="H1586" s="1"/>
      <c r="I1586" s="1"/>
      <c r="J1586" s="1"/>
      <c r="K1586" s="1"/>
      <c r="L1586" s="1"/>
      <c r="M1586" s="1"/>
      <c r="N1586" s="1"/>
      <c r="O1586" s="1"/>
    </row>
    <row r="1587" spans="2:15" x14ac:dyDescent="0.25">
      <c r="B1587" s="1"/>
      <c r="C1587" s="1"/>
      <c r="D1587" s="1"/>
      <c r="E1587" s="1"/>
      <c r="F1587" s="1"/>
      <c r="G1587" s="1"/>
      <c r="H1587" s="1"/>
      <c r="I1587" s="1"/>
      <c r="J1587" s="1"/>
      <c r="K1587" s="1"/>
      <c r="L1587" s="1"/>
      <c r="M1587" s="1"/>
      <c r="N1587" s="1"/>
      <c r="O1587" s="1"/>
    </row>
    <row r="1588" spans="2:15" x14ac:dyDescent="0.25">
      <c r="B1588" s="1"/>
      <c r="C1588" s="1"/>
      <c r="D1588" s="1"/>
      <c r="E1588" s="1"/>
      <c r="F1588" s="1"/>
      <c r="G1588" s="1"/>
      <c r="H1588" s="1"/>
      <c r="I1588" s="1"/>
      <c r="J1588" s="1"/>
      <c r="K1588" s="1"/>
      <c r="L1588" s="1"/>
      <c r="M1588" s="1"/>
      <c r="N1588" s="1"/>
      <c r="O1588" s="1"/>
    </row>
    <row r="1589" spans="2:15" x14ac:dyDescent="0.25">
      <c r="B1589" s="1"/>
      <c r="C1589" s="1"/>
      <c r="D1589" s="1"/>
      <c r="E1589" s="1"/>
      <c r="F1589" s="1"/>
      <c r="G1589" s="1"/>
      <c r="H1589" s="1"/>
      <c r="I1589" s="1"/>
      <c r="J1589" s="1"/>
      <c r="K1589" s="1"/>
      <c r="L1589" s="1"/>
      <c r="M1589" s="1"/>
      <c r="N1589" s="1"/>
      <c r="O1589" s="1"/>
    </row>
    <row r="1590" spans="2:15" x14ac:dyDescent="0.25">
      <c r="B1590" s="1"/>
      <c r="C1590" s="1"/>
      <c r="D1590" s="1"/>
      <c r="E1590" s="1"/>
      <c r="F1590" s="1"/>
      <c r="G1590" s="1"/>
      <c r="H1590" s="1"/>
      <c r="I1590" s="1"/>
      <c r="J1590" s="1"/>
      <c r="K1590" s="1"/>
      <c r="L1590" s="1"/>
      <c r="M1590" s="1"/>
      <c r="N1590" s="1"/>
      <c r="O1590" s="1"/>
    </row>
    <row r="1591" spans="2:15" x14ac:dyDescent="0.25">
      <c r="B1591" s="1"/>
      <c r="C1591" s="1"/>
      <c r="D1591" s="1"/>
      <c r="E1591" s="1"/>
      <c r="F1591" s="1"/>
      <c r="G1591" s="1"/>
      <c r="H1591" s="1"/>
      <c r="I1591" s="1"/>
      <c r="J1591" s="1"/>
      <c r="K1591" s="1"/>
      <c r="L1591" s="1"/>
      <c r="M1591" s="1"/>
      <c r="N1591" s="1"/>
      <c r="O1591" s="1"/>
    </row>
    <row r="1592" spans="2:15" x14ac:dyDescent="0.25">
      <c r="B1592" s="1"/>
      <c r="C1592" s="1"/>
      <c r="D1592" s="1"/>
      <c r="E1592" s="1"/>
      <c r="F1592" s="1"/>
      <c r="G1592" s="1"/>
      <c r="H1592" s="1"/>
      <c r="I1592" s="1"/>
      <c r="J1592" s="1"/>
      <c r="K1592" s="1"/>
      <c r="L1592" s="1"/>
      <c r="M1592" s="1"/>
      <c r="N1592" s="1"/>
      <c r="O1592" s="1"/>
    </row>
    <row r="1593" spans="2:15" x14ac:dyDescent="0.25">
      <c r="B1593" s="1"/>
      <c r="C1593" s="1"/>
      <c r="D1593" s="1"/>
      <c r="E1593" s="1"/>
      <c r="F1593" s="1"/>
      <c r="G1593" s="1"/>
      <c r="H1593" s="1"/>
      <c r="I1593" s="1"/>
      <c r="J1593" s="1"/>
      <c r="K1593" s="1"/>
      <c r="L1593" s="1"/>
      <c r="M1593" s="1"/>
      <c r="N1593" s="1"/>
      <c r="O1593" s="1"/>
    </row>
    <row r="1594" spans="2:15" x14ac:dyDescent="0.25">
      <c r="B1594" s="1"/>
      <c r="C1594" s="1"/>
      <c r="D1594" s="1"/>
      <c r="E1594" s="1"/>
      <c r="F1594" s="1"/>
      <c r="G1594" s="1"/>
      <c r="H1594" s="1"/>
      <c r="I1594" s="1"/>
      <c r="J1594" s="1"/>
      <c r="K1594" s="1"/>
      <c r="L1594" s="1"/>
      <c r="M1594" s="1"/>
      <c r="N1594" s="1"/>
      <c r="O1594" s="1"/>
    </row>
    <row r="1595" spans="2:15" x14ac:dyDescent="0.25">
      <c r="B1595" s="1"/>
      <c r="C1595" s="1"/>
      <c r="D1595" s="1"/>
      <c r="E1595" s="1"/>
      <c r="F1595" s="1"/>
      <c r="G1595" s="1"/>
      <c r="H1595" s="1"/>
      <c r="I1595" s="1"/>
      <c r="J1595" s="1"/>
      <c r="K1595" s="1"/>
      <c r="L1595" s="1"/>
      <c r="M1595" s="1"/>
      <c r="N1595" s="1"/>
      <c r="O1595" s="1"/>
    </row>
    <row r="1596" spans="2:15" x14ac:dyDescent="0.25">
      <c r="B1596" s="1"/>
      <c r="C1596" s="1"/>
      <c r="D1596" s="1"/>
      <c r="E1596" s="1"/>
      <c r="F1596" s="1"/>
      <c r="G1596" s="1"/>
      <c r="H1596" s="1"/>
      <c r="I1596" s="1"/>
      <c r="J1596" s="1"/>
      <c r="K1596" s="1"/>
      <c r="L1596" s="1"/>
      <c r="M1596" s="1"/>
      <c r="N1596" s="1"/>
      <c r="O1596" s="1"/>
    </row>
    <row r="1597" spans="2:15" x14ac:dyDescent="0.25">
      <c r="B1597" s="1"/>
      <c r="C1597" s="1"/>
      <c r="D1597" s="1"/>
      <c r="E1597" s="1"/>
      <c r="F1597" s="1"/>
      <c r="G1597" s="1"/>
      <c r="H1597" s="1"/>
      <c r="I1597" s="1"/>
      <c r="J1597" s="1"/>
      <c r="K1597" s="1"/>
      <c r="L1597" s="1"/>
      <c r="M1597" s="1"/>
      <c r="N1597" s="1"/>
      <c r="O1597" s="1"/>
    </row>
    <row r="1598" spans="2:15" x14ac:dyDescent="0.25">
      <c r="B1598" s="1"/>
      <c r="C1598" s="1"/>
      <c r="D1598" s="1"/>
      <c r="E1598" s="1"/>
      <c r="F1598" s="1"/>
      <c r="G1598" s="1"/>
      <c r="H1598" s="1"/>
      <c r="I1598" s="1"/>
      <c r="J1598" s="1"/>
      <c r="K1598" s="1"/>
      <c r="L1598" s="1"/>
      <c r="M1598" s="1"/>
      <c r="N1598" s="1"/>
      <c r="O1598" s="1"/>
    </row>
    <row r="1599" spans="2:15" x14ac:dyDescent="0.25">
      <c r="B1599" s="1"/>
      <c r="C1599" s="1"/>
      <c r="D1599" s="1"/>
      <c r="E1599" s="1"/>
      <c r="F1599" s="1"/>
      <c r="G1599" s="1"/>
      <c r="H1599" s="1"/>
      <c r="I1599" s="1"/>
      <c r="J1599" s="1"/>
      <c r="K1599" s="1"/>
      <c r="L1599" s="1"/>
      <c r="M1599" s="1"/>
      <c r="N1599" s="1"/>
      <c r="O1599" s="1"/>
    </row>
    <row r="1600" spans="2:15" x14ac:dyDescent="0.25">
      <c r="B1600" s="1"/>
      <c r="C1600" s="1"/>
      <c r="D1600" s="1"/>
      <c r="E1600" s="1"/>
      <c r="F1600" s="1"/>
      <c r="G1600" s="1"/>
      <c r="H1600" s="1"/>
      <c r="I1600" s="1"/>
      <c r="J1600" s="1"/>
      <c r="K1600" s="1"/>
      <c r="L1600" s="1"/>
      <c r="M1600" s="1"/>
      <c r="N1600" s="1"/>
      <c r="O1600" s="1"/>
    </row>
    <row r="1601" spans="2:15" x14ac:dyDescent="0.25">
      <c r="B1601" s="1"/>
      <c r="C1601" s="1"/>
      <c r="D1601" s="1"/>
      <c r="E1601" s="1"/>
      <c r="F1601" s="1"/>
      <c r="G1601" s="1"/>
      <c r="H1601" s="1"/>
      <c r="I1601" s="1"/>
      <c r="J1601" s="1"/>
      <c r="K1601" s="1"/>
      <c r="L1601" s="1"/>
      <c r="M1601" s="1"/>
      <c r="N1601" s="1"/>
      <c r="O1601" s="1"/>
    </row>
    <row r="1602" spans="2:15" x14ac:dyDescent="0.25">
      <c r="B1602" s="1"/>
      <c r="C1602" s="1"/>
      <c r="D1602" s="1"/>
      <c r="E1602" s="1"/>
      <c r="F1602" s="1"/>
      <c r="G1602" s="1"/>
      <c r="H1602" s="1"/>
      <c r="I1602" s="1"/>
      <c r="J1602" s="1"/>
      <c r="K1602" s="1"/>
      <c r="L1602" s="1"/>
      <c r="M1602" s="1"/>
      <c r="N1602" s="1"/>
      <c r="O1602" s="1"/>
    </row>
    <row r="1603" spans="2:15" x14ac:dyDescent="0.25">
      <c r="B1603" s="1"/>
      <c r="C1603" s="1"/>
      <c r="D1603" s="1"/>
      <c r="E1603" s="1"/>
      <c r="F1603" s="1"/>
      <c r="G1603" s="1"/>
      <c r="H1603" s="1"/>
      <c r="I1603" s="1"/>
      <c r="J1603" s="1"/>
      <c r="K1603" s="1"/>
      <c r="L1603" s="1"/>
      <c r="M1603" s="1"/>
      <c r="N1603" s="1"/>
      <c r="O1603" s="1"/>
    </row>
    <row r="1604" spans="2:15" x14ac:dyDescent="0.25">
      <c r="B1604" s="1"/>
      <c r="C1604" s="1"/>
      <c r="D1604" s="1"/>
      <c r="E1604" s="1"/>
      <c r="F1604" s="1"/>
      <c r="G1604" s="1"/>
      <c r="H1604" s="1"/>
      <c r="I1604" s="1"/>
      <c r="J1604" s="1"/>
      <c r="K1604" s="1"/>
      <c r="L1604" s="1"/>
      <c r="M1604" s="1"/>
      <c r="N1604" s="1"/>
      <c r="O1604" s="1"/>
    </row>
    <row r="1605" spans="2:15" x14ac:dyDescent="0.25">
      <c r="B1605" s="1"/>
      <c r="C1605" s="1"/>
      <c r="D1605" s="1"/>
      <c r="E1605" s="1"/>
      <c r="F1605" s="1"/>
      <c r="G1605" s="1"/>
      <c r="H1605" s="1"/>
      <c r="I1605" s="1"/>
      <c r="J1605" s="1"/>
      <c r="K1605" s="1"/>
      <c r="L1605" s="1"/>
      <c r="M1605" s="1"/>
      <c r="N1605" s="1"/>
      <c r="O1605" s="1"/>
    </row>
    <row r="1606" spans="2:15" x14ac:dyDescent="0.25">
      <c r="B1606" s="1"/>
      <c r="C1606" s="1"/>
      <c r="D1606" s="1"/>
      <c r="E1606" s="1"/>
      <c r="F1606" s="1"/>
      <c r="G1606" s="1"/>
      <c r="H1606" s="1"/>
      <c r="I1606" s="1"/>
      <c r="J1606" s="1"/>
      <c r="K1606" s="1"/>
      <c r="L1606" s="1"/>
      <c r="M1606" s="1"/>
      <c r="N1606" s="1"/>
      <c r="O1606" s="1"/>
    </row>
    <row r="1607" spans="2:15" x14ac:dyDescent="0.25">
      <c r="B1607" s="1"/>
      <c r="C1607" s="1"/>
      <c r="D1607" s="1"/>
      <c r="E1607" s="1"/>
      <c r="F1607" s="1"/>
      <c r="G1607" s="1"/>
      <c r="H1607" s="1"/>
      <c r="I1607" s="1"/>
      <c r="J1607" s="1"/>
      <c r="K1607" s="1"/>
      <c r="L1607" s="1"/>
      <c r="M1607" s="1"/>
      <c r="N1607" s="1"/>
      <c r="O1607" s="1"/>
    </row>
    <row r="1608" spans="2:15" x14ac:dyDescent="0.25">
      <c r="B1608" s="1"/>
      <c r="C1608" s="1"/>
      <c r="D1608" s="1"/>
      <c r="E1608" s="1"/>
      <c r="F1608" s="1"/>
      <c r="G1608" s="1"/>
      <c r="H1608" s="1"/>
      <c r="I1608" s="1"/>
      <c r="J1608" s="1"/>
      <c r="K1608" s="1"/>
      <c r="L1608" s="1"/>
      <c r="M1608" s="1"/>
      <c r="N1608" s="1"/>
      <c r="O1608" s="1"/>
    </row>
    <row r="1609" spans="2:15" x14ac:dyDescent="0.25">
      <c r="B1609" s="1"/>
      <c r="C1609" s="1"/>
      <c r="D1609" s="1"/>
      <c r="E1609" s="1"/>
      <c r="F1609" s="1"/>
      <c r="G1609" s="1"/>
      <c r="H1609" s="1"/>
      <c r="I1609" s="1"/>
      <c r="J1609" s="1"/>
      <c r="K1609" s="1"/>
      <c r="L1609" s="1"/>
      <c r="M1609" s="1"/>
      <c r="N1609" s="1"/>
      <c r="O1609" s="1"/>
    </row>
    <row r="1610" spans="2:15" x14ac:dyDescent="0.25">
      <c r="B1610" s="1"/>
      <c r="C1610" s="1"/>
      <c r="D1610" s="1"/>
      <c r="E1610" s="1"/>
      <c r="F1610" s="1"/>
      <c r="G1610" s="1"/>
      <c r="H1610" s="1"/>
      <c r="I1610" s="1"/>
      <c r="J1610" s="1"/>
      <c r="K1610" s="1"/>
      <c r="L1610" s="1"/>
      <c r="M1610" s="1"/>
      <c r="N1610" s="1"/>
      <c r="O1610" s="1"/>
    </row>
    <row r="1611" spans="2:15" x14ac:dyDescent="0.25">
      <c r="B1611" s="1"/>
      <c r="C1611" s="1"/>
      <c r="D1611" s="1"/>
      <c r="E1611" s="1"/>
      <c r="F1611" s="1"/>
      <c r="G1611" s="1"/>
      <c r="H1611" s="1"/>
      <c r="I1611" s="1"/>
      <c r="J1611" s="1"/>
      <c r="K1611" s="1"/>
      <c r="L1611" s="1"/>
      <c r="M1611" s="1"/>
      <c r="N1611" s="1"/>
      <c r="O1611" s="1"/>
    </row>
    <row r="1612" spans="2:15" x14ac:dyDescent="0.25">
      <c r="B1612" s="1"/>
      <c r="C1612" s="1"/>
      <c r="D1612" s="1"/>
      <c r="E1612" s="1"/>
      <c r="F1612" s="1"/>
      <c r="G1612" s="1"/>
      <c r="H1612" s="1"/>
      <c r="I1612" s="1"/>
      <c r="J1612" s="1"/>
      <c r="K1612" s="1"/>
      <c r="L1612" s="1"/>
      <c r="M1612" s="1"/>
      <c r="N1612" s="1"/>
      <c r="O1612" s="1"/>
    </row>
    <row r="1613" spans="2:15" x14ac:dyDescent="0.25">
      <c r="B1613" s="1"/>
      <c r="C1613" s="1"/>
      <c r="D1613" s="1"/>
      <c r="E1613" s="1"/>
      <c r="F1613" s="1"/>
      <c r="G1613" s="1"/>
      <c r="H1613" s="1"/>
      <c r="I1613" s="1"/>
      <c r="J1613" s="1"/>
      <c r="K1613" s="1"/>
      <c r="L1613" s="1"/>
      <c r="M1613" s="1"/>
      <c r="N1613" s="1"/>
      <c r="O1613" s="1"/>
    </row>
    <row r="1614" spans="2:15" x14ac:dyDescent="0.25">
      <c r="B1614" s="1"/>
      <c r="C1614" s="1"/>
      <c r="D1614" s="1"/>
      <c r="E1614" s="1"/>
      <c r="F1614" s="1"/>
      <c r="G1614" s="1"/>
      <c r="H1614" s="1"/>
      <c r="I1614" s="1"/>
      <c r="J1614" s="1"/>
      <c r="K1614" s="1"/>
      <c r="L1614" s="1"/>
      <c r="M1614" s="1"/>
      <c r="N1614" s="1"/>
      <c r="O1614" s="1"/>
    </row>
    <row r="1615" spans="2:15" x14ac:dyDescent="0.25">
      <c r="B1615" s="1"/>
      <c r="C1615" s="1"/>
      <c r="D1615" s="1"/>
      <c r="E1615" s="1"/>
      <c r="F1615" s="1"/>
      <c r="G1615" s="1"/>
      <c r="H1615" s="1"/>
      <c r="I1615" s="1"/>
      <c r="J1615" s="1"/>
      <c r="K1615" s="1"/>
      <c r="L1615" s="1"/>
      <c r="M1615" s="1"/>
      <c r="N1615" s="1"/>
      <c r="O1615" s="1"/>
    </row>
    <row r="1616" spans="2:15" x14ac:dyDescent="0.25">
      <c r="B1616" s="1"/>
      <c r="C1616" s="1"/>
      <c r="D1616" s="1"/>
      <c r="E1616" s="1"/>
      <c r="F1616" s="1"/>
      <c r="G1616" s="1"/>
      <c r="H1616" s="1"/>
      <c r="I1616" s="1"/>
      <c r="J1616" s="1"/>
      <c r="K1616" s="1"/>
      <c r="L1616" s="1"/>
      <c r="M1616" s="1"/>
      <c r="N1616" s="1"/>
      <c r="O1616" s="1"/>
    </row>
    <row r="1617" spans="2:15" x14ac:dyDescent="0.25">
      <c r="B1617" s="1"/>
      <c r="C1617" s="1"/>
      <c r="D1617" s="1"/>
      <c r="E1617" s="1"/>
      <c r="F1617" s="1"/>
      <c r="G1617" s="1"/>
      <c r="H1617" s="1"/>
      <c r="I1617" s="1"/>
      <c r="J1617" s="1"/>
      <c r="K1617" s="1"/>
      <c r="L1617" s="1"/>
      <c r="M1617" s="1"/>
      <c r="N1617" s="1"/>
      <c r="O1617" s="1"/>
    </row>
    <row r="1618" spans="2:15" x14ac:dyDescent="0.25">
      <c r="B1618" s="1"/>
      <c r="C1618" s="1"/>
      <c r="D1618" s="1"/>
      <c r="E1618" s="1"/>
      <c r="F1618" s="1"/>
      <c r="G1618" s="1"/>
      <c r="H1618" s="1"/>
      <c r="I1618" s="1"/>
      <c r="J1618" s="1"/>
      <c r="K1618" s="1"/>
      <c r="L1618" s="1"/>
      <c r="M1618" s="1"/>
      <c r="N1618" s="1"/>
      <c r="O1618" s="1"/>
    </row>
    <row r="1619" spans="2:15" x14ac:dyDescent="0.25">
      <c r="B1619" s="1"/>
      <c r="C1619" s="1"/>
      <c r="D1619" s="1"/>
      <c r="E1619" s="1"/>
      <c r="F1619" s="1"/>
      <c r="G1619" s="1"/>
      <c r="H1619" s="1"/>
      <c r="I1619" s="1"/>
      <c r="J1619" s="1"/>
      <c r="K1619" s="1"/>
      <c r="L1619" s="1"/>
      <c r="M1619" s="1"/>
      <c r="N1619" s="1"/>
      <c r="O1619" s="1"/>
    </row>
    <row r="1620" spans="2:15" x14ac:dyDescent="0.25">
      <c r="B1620" s="1"/>
      <c r="C1620" s="1"/>
      <c r="D1620" s="1"/>
      <c r="E1620" s="1"/>
      <c r="F1620" s="1"/>
      <c r="G1620" s="1"/>
      <c r="H1620" s="1"/>
      <c r="I1620" s="1"/>
      <c r="J1620" s="1"/>
      <c r="K1620" s="1"/>
      <c r="L1620" s="1"/>
      <c r="M1620" s="1"/>
      <c r="N1620" s="1"/>
      <c r="O1620" s="1"/>
    </row>
  </sheetData>
  <mergeCells count="260">
    <mergeCell ref="A641:I641"/>
    <mergeCell ref="G613:G616"/>
    <mergeCell ref="H613:H616"/>
    <mergeCell ref="B617:H617"/>
    <mergeCell ref="A618:O618"/>
    <mergeCell ref="A619:A639"/>
    <mergeCell ref="C631:C633"/>
    <mergeCell ref="D631:D633"/>
    <mergeCell ref="E631:E633"/>
    <mergeCell ref="B634:B635"/>
    <mergeCell ref="B638:B639"/>
    <mergeCell ref="D638:D639"/>
    <mergeCell ref="C588:C589"/>
    <mergeCell ref="H588:H589"/>
    <mergeCell ref="C591:C612"/>
    <mergeCell ref="F591:F593"/>
    <mergeCell ref="G591:G593"/>
    <mergeCell ref="H591:H593"/>
    <mergeCell ref="A592:A616"/>
    <mergeCell ref="B592:B616"/>
    <mergeCell ref="F594:F596"/>
    <mergeCell ref="G594:G596"/>
    <mergeCell ref="H594:H596"/>
    <mergeCell ref="H597:H599"/>
    <mergeCell ref="F598:F599"/>
    <mergeCell ref="G598:G599"/>
    <mergeCell ref="F600:F605"/>
    <mergeCell ref="G600:G605"/>
    <mergeCell ref="H600:H605"/>
    <mergeCell ref="F606:F612"/>
    <mergeCell ref="G606:G612"/>
    <mergeCell ref="H606:H612"/>
    <mergeCell ref="C613:C616"/>
    <mergeCell ref="D613:D616"/>
    <mergeCell ref="E613:E616"/>
    <mergeCell ref="F613:F616"/>
    <mergeCell ref="C543:C544"/>
    <mergeCell ref="A550:O550"/>
    <mergeCell ref="C553:C554"/>
    <mergeCell ref="C555:C557"/>
    <mergeCell ref="C564:C565"/>
    <mergeCell ref="B539:H539"/>
    <mergeCell ref="B569:I569"/>
    <mergeCell ref="A570:O570"/>
    <mergeCell ref="A572:A587"/>
    <mergeCell ref="B572:B587"/>
    <mergeCell ref="C578:C579"/>
    <mergeCell ref="D578:D579"/>
    <mergeCell ref="E578:E579"/>
    <mergeCell ref="F578:F579"/>
    <mergeCell ref="G578:G579"/>
    <mergeCell ref="H578:H579"/>
    <mergeCell ref="C582:C584"/>
    <mergeCell ref="C585:C586"/>
    <mergeCell ref="D585:D586"/>
    <mergeCell ref="E585:E586"/>
    <mergeCell ref="D531:D532"/>
    <mergeCell ref="B533:B534"/>
    <mergeCell ref="C533:C534"/>
    <mergeCell ref="B535:B536"/>
    <mergeCell ref="C535:C538"/>
    <mergeCell ref="D535:D536"/>
    <mergeCell ref="E535:E536"/>
    <mergeCell ref="B537:B538"/>
    <mergeCell ref="D537:D538"/>
    <mergeCell ref="E537:E538"/>
    <mergeCell ref="A493:O493"/>
    <mergeCell ref="A494:A496"/>
    <mergeCell ref="B495:B496"/>
    <mergeCell ref="A497:O497"/>
    <mergeCell ref="A498:A538"/>
    <mergeCell ref="B499:B504"/>
    <mergeCell ref="B505:B509"/>
    <mergeCell ref="B510:B520"/>
    <mergeCell ref="C511:C512"/>
    <mergeCell ref="D511:D512"/>
    <mergeCell ref="C514:C515"/>
    <mergeCell ref="D514:D515"/>
    <mergeCell ref="D517:D518"/>
    <mergeCell ref="C518:C519"/>
    <mergeCell ref="B521:B523"/>
    <mergeCell ref="C521:C523"/>
    <mergeCell ref="D522:D523"/>
    <mergeCell ref="B525:B527"/>
    <mergeCell ref="C525:C527"/>
    <mergeCell ref="B529:B530"/>
    <mergeCell ref="C529:C532"/>
    <mergeCell ref="D529:D530"/>
    <mergeCell ref="E529:E532"/>
    <mergeCell ref="B531:B532"/>
    <mergeCell ref="A410:O410"/>
    <mergeCell ref="A412:A492"/>
    <mergeCell ref="B412:B484"/>
    <mergeCell ref="C424:C426"/>
    <mergeCell ref="D424:D426"/>
    <mergeCell ref="E424:E426"/>
    <mergeCell ref="C427:C428"/>
    <mergeCell ref="C432:C433"/>
    <mergeCell ref="D432:D433"/>
    <mergeCell ref="E432:E433"/>
    <mergeCell ref="C434:C435"/>
    <mergeCell ref="D434:D435"/>
    <mergeCell ref="E434:E435"/>
    <mergeCell ref="C453:C454"/>
    <mergeCell ref="C470:C471"/>
    <mergeCell ref="C476:C480"/>
    <mergeCell ref="B485:B490"/>
    <mergeCell ref="C488:C490"/>
    <mergeCell ref="B491:B492"/>
    <mergeCell ref="B409:I409"/>
    <mergeCell ref="B342:B343"/>
    <mergeCell ref="B344:B345"/>
    <mergeCell ref="C344:C345"/>
    <mergeCell ref="D344:D345"/>
    <mergeCell ref="B330:I330"/>
    <mergeCell ref="A331:A334"/>
    <mergeCell ref="B331:B334"/>
    <mergeCell ref="A335:O335"/>
    <mergeCell ref="A337:A340"/>
    <mergeCell ref="B337:B340"/>
    <mergeCell ref="P303:P306"/>
    <mergeCell ref="B307:B308"/>
    <mergeCell ref="A309:A313"/>
    <mergeCell ref="B309:B313"/>
    <mergeCell ref="B314:B329"/>
    <mergeCell ref="A325:A328"/>
    <mergeCell ref="B294:B298"/>
    <mergeCell ref="A299:A300"/>
    <mergeCell ref="B299:B300"/>
    <mergeCell ref="A302:A306"/>
    <mergeCell ref="B302:B306"/>
    <mergeCell ref="A271:A275"/>
    <mergeCell ref="B271:B275"/>
    <mergeCell ref="A276:A280"/>
    <mergeCell ref="B276:B280"/>
    <mergeCell ref="A281:A290"/>
    <mergeCell ref="B281:B284"/>
    <mergeCell ref="B285:B289"/>
    <mergeCell ref="B290:B293"/>
    <mergeCell ref="A258:A263"/>
    <mergeCell ref="B258:B262"/>
    <mergeCell ref="A264:A265"/>
    <mergeCell ref="B264:B265"/>
    <mergeCell ref="A266:A270"/>
    <mergeCell ref="B266:B270"/>
    <mergeCell ref="A250:A253"/>
    <mergeCell ref="B250:B253"/>
    <mergeCell ref="A254:A256"/>
    <mergeCell ref="B254:B256"/>
    <mergeCell ref="A257:I257"/>
    <mergeCell ref="A239:A242"/>
    <mergeCell ref="B239:B242"/>
    <mergeCell ref="B244:O244"/>
    <mergeCell ref="A245:I245"/>
    <mergeCell ref="A247:A249"/>
    <mergeCell ref="B247:B249"/>
    <mergeCell ref="A217:A224"/>
    <mergeCell ref="B217:B235"/>
    <mergeCell ref="A225:A233"/>
    <mergeCell ref="B237:O237"/>
    <mergeCell ref="B238:O238"/>
    <mergeCell ref="A184:A187"/>
    <mergeCell ref="B185:B188"/>
    <mergeCell ref="B190:B215"/>
    <mergeCell ref="A196:A204"/>
    <mergeCell ref="A205:A214"/>
    <mergeCell ref="A175:A176"/>
    <mergeCell ref="B175:B176"/>
    <mergeCell ref="A177:A180"/>
    <mergeCell ref="B177:B180"/>
    <mergeCell ref="A181:A182"/>
    <mergeCell ref="B181:B183"/>
    <mergeCell ref="A116:A117"/>
    <mergeCell ref="B116:B118"/>
    <mergeCell ref="A119:A170"/>
    <mergeCell ref="B119:B170"/>
    <mergeCell ref="A171:A173"/>
    <mergeCell ref="B171:B174"/>
    <mergeCell ref="H30:H31"/>
    <mergeCell ref="B50:B54"/>
    <mergeCell ref="A103:A107"/>
    <mergeCell ref="B103:B107"/>
    <mergeCell ref="A108:A113"/>
    <mergeCell ref="B108:B113"/>
    <mergeCell ref="A114:A115"/>
    <mergeCell ref="B114:B115"/>
    <mergeCell ref="A92:A96"/>
    <mergeCell ref="B92:B96"/>
    <mergeCell ref="A97:A99"/>
    <mergeCell ref="B97:B99"/>
    <mergeCell ref="B100:B101"/>
    <mergeCell ref="A2:O2"/>
    <mergeCell ref="A3:O3"/>
    <mergeCell ref="A4:A8"/>
    <mergeCell ref="B4:B8"/>
    <mergeCell ref="C4:E4"/>
    <mergeCell ref="F4:I4"/>
    <mergeCell ref="J4:O4"/>
    <mergeCell ref="C5:C8"/>
    <mergeCell ref="D5:D8"/>
    <mergeCell ref="E5:E8"/>
    <mergeCell ref="M5:M8"/>
    <mergeCell ref="N5:N8"/>
    <mergeCell ref="O5:O8"/>
    <mergeCell ref="J7:J8"/>
    <mergeCell ref="K7:K8"/>
    <mergeCell ref="J5:K6"/>
    <mergeCell ref="L5:L8"/>
    <mergeCell ref="A11:O11"/>
    <mergeCell ref="A12:A24"/>
    <mergeCell ref="B12:B24"/>
    <mergeCell ref="B10:H10"/>
    <mergeCell ref="F5:F8"/>
    <mergeCell ref="G5:G8"/>
    <mergeCell ref="H5:H8"/>
    <mergeCell ref="I5:I8"/>
    <mergeCell ref="B25:H25"/>
    <mergeCell ref="A26:O26"/>
    <mergeCell ref="B27:I27"/>
    <mergeCell ref="A29:A69"/>
    <mergeCell ref="B29:B31"/>
    <mergeCell ref="B347:H347"/>
    <mergeCell ref="B348:O348"/>
    <mergeCell ref="A349:A359"/>
    <mergeCell ref="B349:B350"/>
    <mergeCell ref="B352:B363"/>
    <mergeCell ref="C352:C355"/>
    <mergeCell ref="D357:D358"/>
    <mergeCell ref="E357:E358"/>
    <mergeCell ref="A360:A365"/>
    <mergeCell ref="B364:B367"/>
    <mergeCell ref="C364:C365"/>
    <mergeCell ref="C366:C367"/>
    <mergeCell ref="B55:B59"/>
    <mergeCell ref="B60:B64"/>
    <mergeCell ref="B65:B69"/>
    <mergeCell ref="A70:A88"/>
    <mergeCell ref="B70:B89"/>
    <mergeCell ref="D30:D31"/>
    <mergeCell ref="F30:F31"/>
    <mergeCell ref="G30:G31"/>
    <mergeCell ref="B368:H368"/>
    <mergeCell ref="A369:O369"/>
    <mergeCell ref="A370:A380"/>
    <mergeCell ref="B370:B380"/>
    <mergeCell ref="B381:H381"/>
    <mergeCell ref="A382:O382"/>
    <mergeCell ref="A383:A408"/>
    <mergeCell ref="B383:B408"/>
    <mergeCell ref="C385:C387"/>
    <mergeCell ref="D385:D387"/>
    <mergeCell ref="E385:E386"/>
    <mergeCell ref="C388:C390"/>
    <mergeCell ref="D388:D390"/>
    <mergeCell ref="E388:E390"/>
    <mergeCell ref="C400:C401"/>
    <mergeCell ref="C402:C407"/>
    <mergeCell ref="D402:D403"/>
    <mergeCell ref="E402:E403"/>
    <mergeCell ref="D405:D407"/>
  </mergeCells>
  <pageMargins left="0.70866141732283472" right="0.70866141732283472" top="0.74803149606299213" bottom="0.74803149606299213" header="0.31496062992125984" footer="0.31496062992125984"/>
  <pageSetup paperSize="9" scale="1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Лист2</vt:lpstr>
      <vt:lpstr>Лист3</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2024-03-12T13:50:30Z</dcterms:modified>
</cp:coreProperties>
</file>